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kha\Sxvadasxva\GCIM\Calculators\"/>
    </mc:Choice>
  </mc:AlternateContent>
  <xr:revisionPtr revIDLastSave="0" documentId="13_ncr:1_{20037B6B-1D7E-4597-BBE8-FE4FDD83602E}" xr6:coauthVersionLast="45" xr6:coauthVersionMax="45" xr10:uidLastSave="{00000000-0000-0000-0000-000000000000}"/>
  <bookViews>
    <workbookView xWindow="-110" yWindow="-110" windowWidth="19420" windowHeight="11020" activeTab="1" xr2:uid="{9FA3BDF7-414E-4E1C-94BC-E037C909A241}"/>
  </bookViews>
  <sheets>
    <sheet name="Wellington" sheetId="1" r:id="rId1"/>
    <sheet name="UpToDat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1" l="1"/>
  <c r="J32" i="1"/>
  <c r="K30" i="1"/>
  <c r="J30" i="1"/>
  <c r="K28" i="1"/>
  <c r="J28" i="1"/>
  <c r="A28" i="1"/>
  <c r="B26" i="1"/>
  <c r="F26" i="1" s="1"/>
  <c r="K32" i="2"/>
  <c r="K30" i="2"/>
  <c r="K28" i="2"/>
  <c r="J28" i="2"/>
  <c r="J30" i="2" s="1"/>
  <c r="J32" i="2" s="1"/>
  <c r="A28" i="2"/>
  <c r="B26" i="2"/>
  <c r="H26" i="2" s="1"/>
  <c r="F20" i="2"/>
  <c r="I20" i="2" s="1"/>
  <c r="F18" i="2"/>
  <c r="D18" i="2"/>
  <c r="I9" i="2"/>
  <c r="F20" i="1"/>
  <c r="I20" i="1" s="1"/>
  <c r="D18" i="1"/>
  <c r="F18" i="1" s="1"/>
  <c r="I9" i="1"/>
  <c r="E26" i="2" l="1"/>
  <c r="G26" i="2" s="1"/>
  <c r="C26" i="2"/>
  <c r="F26" i="2"/>
  <c r="E26" i="1"/>
  <c r="G26" i="1" s="1"/>
  <c r="H26" i="1"/>
  <c r="C26" i="1"/>
</calcChain>
</file>

<file path=xl/sharedStrings.xml><?xml version="1.0" encoding="utf-8"?>
<sst xmlns="http://schemas.openxmlformats.org/spreadsheetml/2006/main" count="50" uniqueCount="28">
  <si>
    <t>პაციენტი</t>
  </si>
  <si>
    <t>ასაკი</t>
  </si>
  <si>
    <t>წონა</t>
  </si>
  <si>
    <t>კგ</t>
  </si>
  <si>
    <t>სიმაღლე</t>
  </si>
  <si>
    <t>სმ</t>
  </si>
  <si>
    <t>BMI</t>
  </si>
  <si>
    <t>ბოლუსი</t>
  </si>
  <si>
    <t xml:space="preserve">1 მლ ხსნარი შეიცავს </t>
  </si>
  <si>
    <t>ერთეულ ჰეპარინს</t>
  </si>
  <si>
    <t>ინიციალური დოზა</t>
  </si>
  <si>
    <t>ბოლუსი (80 ერთ/კგ) ანუ</t>
  </si>
  <si>
    <t xml:space="preserve">ინფუზიის სიჩქარე </t>
  </si>
  <si>
    <t>ერთ/კგ/სთ ანუ</t>
  </si>
  <si>
    <t xml:space="preserve">ერთ/სთ ანუ </t>
  </si>
  <si>
    <t>მლ/სთ</t>
  </si>
  <si>
    <t>მლ. ჰეპარინი</t>
  </si>
  <si>
    <t>ერთ. ანუ</t>
  </si>
  <si>
    <t>aPTT</t>
  </si>
  <si>
    <t>წმ</t>
  </si>
  <si>
    <t>შემდგომი ინფუზია aPTT-ს კონტროლით ყოველ 6 საათში</t>
  </si>
  <si>
    <t>მაქსიმალური სიჩქარე 2000 ერთ/სთ</t>
  </si>
  <si>
    <t>ზრდასრულებში არაფრაქცირებული ჰეპარინის დოზის კორექციის ნომოგრამა აქტივირებული პარციალური თრომბოპლასტინის დროის მიხედვით</t>
  </si>
  <si>
    <t>Nomogram for adjusting unfractionated heparin in adults using the aPTT (UpToDate 2020)</t>
  </si>
  <si>
    <t>Nomogram for adjusting unfractionated heparin in adults using the aPTT (Wellington ICU Drug Manual)</t>
  </si>
  <si>
    <t>მაქსიმალური ბოლუსი 10 000 ერთ</t>
  </si>
  <si>
    <t xml:space="preserve">5 მლ ანუ 25 000 ერთეული არაფრაქცირებული ჰეპარინი 50 მლ ფიზიოლოგიურ ხსნარში ან 5% დექსტროზაში (პამპით ინფუზია) </t>
  </si>
  <si>
    <t xml:space="preserve">5 მლ ანუ 25 000 ერთეული არაფრაქცირებული ჰეპარინი 50 მლ ფიზიოლოგიურ ხსნარში ან 5% დექსტროზაში  (პამპით ინფუზია)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</si>
</sst>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" fontId="0" fillId="2" borderId="0" xfId="0" applyNumberFormat="1" applyFill="1"/>
    <xf numFmtId="1" fontId="0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top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59996337778862885"/>
        </patternFill>
      </fill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9" tint="0.59996337778862885"/>
        </patternFill>
      </fill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0E8B-9E48-469C-8D3D-27F4E56AF54F}">
  <dimension ref="A1:O32"/>
  <sheetViews>
    <sheetView workbookViewId="0">
      <selection activeCell="A11" sqref="A11:O12"/>
    </sheetView>
  </sheetViews>
  <sheetFormatPr defaultRowHeight="14.5" x14ac:dyDescent="0.35"/>
  <cols>
    <col min="1" max="16384" width="8.7265625" style="1"/>
  </cols>
  <sheetData>
    <row r="1" spans="1:15" x14ac:dyDescent="0.3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3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7" spans="1:15" x14ac:dyDescent="0.35">
      <c r="A7" s="1" t="s">
        <v>0</v>
      </c>
      <c r="B7" s="37"/>
      <c r="C7" s="37"/>
      <c r="D7" s="37"/>
      <c r="E7" s="37"/>
      <c r="F7" s="37"/>
      <c r="H7" s="4" t="s">
        <v>1</v>
      </c>
      <c r="I7" s="21"/>
    </row>
    <row r="9" spans="1:15" x14ac:dyDescent="0.35">
      <c r="A9" s="4" t="s">
        <v>2</v>
      </c>
      <c r="B9" s="22"/>
      <c r="C9" s="1" t="s">
        <v>3</v>
      </c>
      <c r="D9" s="1" t="s">
        <v>4</v>
      </c>
      <c r="E9" s="22"/>
      <c r="F9" s="1" t="s">
        <v>5</v>
      </c>
      <c r="H9" s="5" t="s">
        <v>6</v>
      </c>
      <c r="I9" s="11" t="e">
        <f>B9/((E9/100)*(E9/100))</f>
        <v>#DIV/0!</v>
      </c>
    </row>
    <row r="11" spans="1:15" ht="14.5" customHeight="1" x14ac:dyDescent="0.35">
      <c r="A11" s="28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</row>
    <row r="12" spans="1:15" x14ac:dyDescent="0.3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5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5" ht="14.5" customHeight="1" x14ac:dyDescent="0.35">
      <c r="A14" s="38" t="s">
        <v>8</v>
      </c>
      <c r="B14" s="38"/>
      <c r="C14" s="38"/>
      <c r="D14" s="8">
        <v>500</v>
      </c>
      <c r="E14" s="39" t="s">
        <v>9</v>
      </c>
      <c r="F14" s="39"/>
      <c r="G14" s="39"/>
      <c r="H14" s="7"/>
      <c r="I14" s="7"/>
      <c r="J14" s="7"/>
    </row>
    <row r="16" spans="1:15" x14ac:dyDescent="0.35">
      <c r="A16" s="26" t="s">
        <v>10</v>
      </c>
      <c r="B16" s="26"/>
      <c r="C16" s="26"/>
      <c r="D16" s="26"/>
      <c r="E16" s="26"/>
      <c r="F16" s="26"/>
      <c r="G16" s="26"/>
    </row>
    <row r="18" spans="1:13" x14ac:dyDescent="0.35">
      <c r="A18" s="9" t="s">
        <v>11</v>
      </c>
      <c r="B18" s="9"/>
      <c r="C18" s="9"/>
      <c r="D18" s="11">
        <f>B9*80</f>
        <v>0</v>
      </c>
      <c r="E18" s="6" t="s">
        <v>17</v>
      </c>
      <c r="F18" s="18">
        <f>D18*5/25000</f>
        <v>0</v>
      </c>
      <c r="G18" s="1" t="s">
        <v>16</v>
      </c>
    </row>
    <row r="20" spans="1:13" x14ac:dyDescent="0.35">
      <c r="A20" s="1" t="s">
        <v>12</v>
      </c>
      <c r="C20" s="3">
        <v>18</v>
      </c>
      <c r="D20" s="35" t="s">
        <v>13</v>
      </c>
      <c r="E20" s="35"/>
      <c r="F20" s="3">
        <f>C20*B9</f>
        <v>0</v>
      </c>
      <c r="G20" s="34" t="s">
        <v>14</v>
      </c>
      <c r="H20" s="34"/>
      <c r="I20" s="16">
        <f>F20/D14</f>
        <v>0</v>
      </c>
      <c r="J20" s="1" t="s">
        <v>15</v>
      </c>
      <c r="M20" s="10"/>
    </row>
    <row r="22" spans="1:13" x14ac:dyDescent="0.35">
      <c r="A22" s="25" t="s">
        <v>20</v>
      </c>
      <c r="B22" s="25"/>
      <c r="C22" s="25"/>
      <c r="D22" s="25"/>
      <c r="E22" s="25"/>
      <c r="F22" s="25"/>
      <c r="G22" s="25"/>
      <c r="H22" s="14"/>
      <c r="I22" s="14"/>
      <c r="J22" s="14"/>
    </row>
    <row r="24" spans="1:13" x14ac:dyDescent="0.35">
      <c r="A24" s="2" t="s">
        <v>18</v>
      </c>
      <c r="B24" s="21"/>
      <c r="C24" s="1" t="s">
        <v>19</v>
      </c>
    </row>
    <row r="26" spans="1:13" x14ac:dyDescent="0.35">
      <c r="A26" s="1" t="s">
        <v>7</v>
      </c>
      <c r="B26" s="3" t="str">
        <f>IF(B24=0,"",IF(B24&lt;35,80,IF(AND(B24&gt;34,B24&lt;46),40,IF(AND(B24&gt;45,B24&lt;61),"არა",IF(AND(B24&gt;60,B24&lt;81),"არა",IF(AND(B24&gt;80,B24&lt;91),"არა",IF(B24&gt;90,"არა","")))))))</f>
        <v/>
      </c>
      <c r="C26" s="36" t="str">
        <f>IF(B26=80,"ერთეული/კგ ანუ",IF(B26=40,"ერთეული/კგ ანუ",""))</f>
        <v/>
      </c>
      <c r="D26" s="36"/>
      <c r="E26" s="13" t="str">
        <f>IF(B26=80,B9*B26,IF(B26=40,B9*B26,""))</f>
        <v/>
      </c>
      <c r="F26" s="1" t="str">
        <f>IF(B26=80,"ერთ. ანუ",IF(B26=40,"ერთ. ანუ",""))</f>
        <v/>
      </c>
      <c r="G26" s="12" t="str">
        <f>IF(B26=80,E26*5/25000,IF(B26=40,E26*5/25000,""))</f>
        <v/>
      </c>
      <c r="H26" s="1" t="str">
        <f>IF(B26=80,"მლ.ჰეპარინი",IF(B26=40,"მლ.ჰეპარინი",""))</f>
        <v/>
      </c>
    </row>
    <row r="28" spans="1:13" x14ac:dyDescent="0.35">
      <c r="A28" s="27" t="str">
        <f>IF(B24=0,"",IF(B24&lt;35,"გაზარდეთ ინფუზიის სიჩქარე",IF(AND(B24&gt;34,B24&lt;46),"გაზარდეთ ინფუზიის სიჩქარე",IF(AND(B24&gt;45,B24&lt;61),"გაზარდეთ ინფუზიის სიჩქარე",IF(AND(B24&gt;60,B24&lt;81),"გააგრძელეთ ინფუზია იგივე სიჩქარით",IF(AND(B24&gt;80,B24&lt;91),"შეამცირეთ ინფუზიის სიჩქარე",IF(B24&gt;90,"გააჩერეთ ინფუზია 1 საათით, შემდეგ კი გააგრძელეთ და შეამცირეთ ინფუზიის სიჩქარე","")))))))</f>
        <v/>
      </c>
      <c r="B28" s="27"/>
      <c r="C28" s="27"/>
      <c r="D28" s="27"/>
      <c r="E28" s="27"/>
      <c r="F28" s="27"/>
      <c r="G28" s="27"/>
      <c r="H28" s="27"/>
      <c r="I28" s="27"/>
      <c r="J28" s="17" t="str">
        <f>IF(B24=0,"",IF(B24&lt;35,4,IF(AND(B24&gt;34,B24&lt;46),2,IF(AND(B24&gt;45,B24&lt;61),2,IF(AND(B24&gt;60,B24&lt;81),"",IF(AND(B24&gt;80,B24&lt;91),2,IF(B24&gt;90,3,"")))))))</f>
        <v/>
      </c>
      <c r="K28" s="6" t="str">
        <f>IF(B24=0,"",IF(AND(B24&gt;60,B24&lt;81),"","ერთ/კგ/სთ-ით ანუ"))</f>
        <v/>
      </c>
      <c r="M28" s="2"/>
    </row>
    <row r="30" spans="1:13" x14ac:dyDescent="0.35">
      <c r="J30" s="17" t="str">
        <f>IF(B24=0,"",IF(B24&lt;35,4*B9,IF(AND(B24&gt;34,B24&lt;46),2*B9,IF(AND(B24&gt;45,B24&lt;61),2*B9,IF(AND(B24&gt;60,B24&lt;81),"",IF(AND(B24&gt;80,B24&lt;91),2*B9,IF(B24&gt;90,3*B9,"")))))))</f>
        <v/>
      </c>
      <c r="K30" s="1" t="str">
        <f>IF(B24=0,"",IF(AND(B24&gt;60,B24&lt;81),"","ერთ/სთ-ით ანუ"))</f>
        <v/>
      </c>
    </row>
    <row r="32" spans="1:13" x14ac:dyDescent="0.35">
      <c r="J32" s="15" t="str">
        <f>IF(B24=0,"",IF(B24&lt;35,J30/D14,IF(AND(B24&gt;34,B24&lt;46),J30/D14,IF(AND(B24&gt;45,B24&lt;61),J30/D14,IF(AND(B24&gt;60,B24&lt;81),"",IF(AND(B24&gt;80,B24&lt;91),J30/D14,IF(B24&gt;90,J30/D14,"")))))))</f>
        <v/>
      </c>
      <c r="K32" s="1" t="str">
        <f>IF(B24=0,"",IF(AND(B24&gt;60,B24&lt;81),"","მლ/სთ-ით"))</f>
        <v/>
      </c>
    </row>
  </sheetData>
  <sheetProtection algorithmName="SHA-512" hashValue="hrrcizaiatxQDsben/BPlvc2wJGkj8GW909h0FrsYw3ChOwpd5w7qE13Pf+xYufbc9iqdADI3bvrP8d7g7KoWA==" saltValue="xRS6I48f2KtZOTt46cGfMw==" spinCount="100000" sheet="1" objects="1" scenarios="1"/>
  <mergeCells count="12">
    <mergeCell ref="A1:O2"/>
    <mergeCell ref="A3:O5"/>
    <mergeCell ref="A22:G22"/>
    <mergeCell ref="A16:G16"/>
    <mergeCell ref="A28:I28"/>
    <mergeCell ref="A11:O12"/>
    <mergeCell ref="G20:H20"/>
    <mergeCell ref="D20:E20"/>
    <mergeCell ref="C26:D26"/>
    <mergeCell ref="B7:F7"/>
    <mergeCell ref="A14:C14"/>
    <mergeCell ref="E14:G14"/>
  </mergeCells>
  <conditionalFormatting sqref="I9">
    <cfRule type="containsErrors" dxfId="13" priority="7">
      <formula>ISERROR(I9)</formula>
    </cfRule>
  </conditionalFormatting>
  <conditionalFormatting sqref="E26">
    <cfRule type="notContainsBlanks" dxfId="12" priority="6">
      <formula>LEN(TRIM(E26))&gt;0</formula>
    </cfRule>
  </conditionalFormatting>
  <conditionalFormatting sqref="G26">
    <cfRule type="notContainsBlanks" dxfId="11" priority="5">
      <formula>LEN(TRIM(G26))&gt;0</formula>
    </cfRule>
    <cfRule type="notContainsBlanks" dxfId="10" priority="10">
      <formula>LEN(TRIM(G26))&gt;0</formula>
    </cfRule>
  </conditionalFormatting>
  <conditionalFormatting sqref="J28">
    <cfRule type="notContainsBlanks" dxfId="9" priority="3">
      <formula>LEN(TRIM(J28))&gt;0</formula>
    </cfRule>
  </conditionalFormatting>
  <conditionalFormatting sqref="J30">
    <cfRule type="notContainsBlanks" dxfId="8" priority="9">
      <formula>LEN(TRIM(J30))&gt;0</formula>
    </cfRule>
  </conditionalFormatting>
  <conditionalFormatting sqref="J32">
    <cfRule type="notContainsBlanks" dxfId="7" priority="1">
      <formula>LEN(TRIM(J32))&gt;0</formula>
    </cfRule>
  </conditionalFormatting>
  <printOptions gridLines="1"/>
  <pageMargins left="0.7" right="0.7" top="0.75" bottom="0.75" header="0.3" footer="0.3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1335-F9EF-482D-80CC-7D2889268C31}">
  <dimension ref="A1:O32"/>
  <sheetViews>
    <sheetView tabSelected="1" workbookViewId="0">
      <selection activeCell="J28" sqref="J28"/>
    </sheetView>
  </sheetViews>
  <sheetFormatPr defaultRowHeight="14.5" x14ac:dyDescent="0.35"/>
  <cols>
    <col min="1" max="16384" width="8.7265625" style="1"/>
  </cols>
  <sheetData>
    <row r="1" spans="1:15" x14ac:dyDescent="0.3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4.5" customHeight="1" x14ac:dyDescent="0.3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7" spans="1:15" x14ac:dyDescent="0.35">
      <c r="A7" s="1" t="s">
        <v>0</v>
      </c>
      <c r="B7" s="37"/>
      <c r="C7" s="37"/>
      <c r="D7" s="37"/>
      <c r="E7" s="37"/>
      <c r="F7" s="37"/>
      <c r="H7" s="4" t="s">
        <v>1</v>
      </c>
      <c r="I7" s="21"/>
      <c r="J7" s="4" t="s">
        <v>2</v>
      </c>
      <c r="K7" s="22"/>
      <c r="L7" s="1" t="s">
        <v>3</v>
      </c>
      <c r="M7" s="1" t="s">
        <v>4</v>
      </c>
      <c r="N7" s="22"/>
      <c r="O7" s="1" t="s">
        <v>5</v>
      </c>
    </row>
    <row r="9" spans="1:15" x14ac:dyDescent="0.35">
      <c r="A9" s="5"/>
      <c r="B9" s="13"/>
      <c r="C9" s="19"/>
      <c r="D9" s="19"/>
      <c r="E9" s="13"/>
      <c r="F9" s="19"/>
      <c r="H9" s="5" t="s">
        <v>6</v>
      </c>
      <c r="I9" s="11" t="e">
        <f>K7/((N7/100)*(N7/100))</f>
        <v>#DIV/0!</v>
      </c>
    </row>
    <row r="11" spans="1:15" ht="14.5" customHeight="1" x14ac:dyDescent="0.35">
      <c r="A11" s="41" t="s">
        <v>27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5" x14ac:dyDescent="0.3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</row>
    <row r="13" spans="1:15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5" ht="14.5" customHeight="1" x14ac:dyDescent="0.35">
      <c r="A14" s="38" t="s">
        <v>8</v>
      </c>
      <c r="B14" s="38"/>
      <c r="C14" s="38"/>
      <c r="D14" s="8">
        <v>500</v>
      </c>
      <c r="E14" s="39" t="s">
        <v>9</v>
      </c>
      <c r="F14" s="39"/>
      <c r="G14" s="39"/>
      <c r="H14" s="7"/>
      <c r="I14" s="7"/>
      <c r="J14" s="7"/>
    </row>
    <row r="16" spans="1:15" x14ac:dyDescent="0.35">
      <c r="A16" s="26" t="s">
        <v>10</v>
      </c>
      <c r="B16" s="26"/>
      <c r="C16" s="26"/>
      <c r="D16" s="26"/>
      <c r="E16" s="26"/>
      <c r="F16" s="26"/>
      <c r="G16" s="26"/>
    </row>
    <row r="18" spans="1:13" x14ac:dyDescent="0.35">
      <c r="A18" s="9" t="s">
        <v>11</v>
      </c>
      <c r="B18" s="9"/>
      <c r="C18" s="9"/>
      <c r="D18" s="11">
        <f>K7*80</f>
        <v>0</v>
      </c>
      <c r="E18" s="6" t="s">
        <v>17</v>
      </c>
      <c r="F18" s="18">
        <f>D18*5/25000</f>
        <v>0</v>
      </c>
      <c r="G18" s="1" t="s">
        <v>16</v>
      </c>
      <c r="I18" s="20" t="s">
        <v>25</v>
      </c>
    </row>
    <row r="20" spans="1:13" x14ac:dyDescent="0.35">
      <c r="A20" s="1" t="s">
        <v>12</v>
      </c>
      <c r="C20" s="3">
        <v>18</v>
      </c>
      <c r="D20" s="35" t="s">
        <v>13</v>
      </c>
      <c r="E20" s="35"/>
      <c r="F20" s="3">
        <f>C20*K7</f>
        <v>0</v>
      </c>
      <c r="G20" s="34" t="s">
        <v>14</v>
      </c>
      <c r="H20" s="34"/>
      <c r="I20" s="16">
        <f>F20/D14</f>
        <v>0</v>
      </c>
      <c r="J20" s="1" t="s">
        <v>15</v>
      </c>
      <c r="K20" s="20" t="s">
        <v>21</v>
      </c>
      <c r="M20" s="10"/>
    </row>
    <row r="22" spans="1:13" x14ac:dyDescent="0.35">
      <c r="A22" s="25" t="s">
        <v>20</v>
      </c>
      <c r="B22" s="25"/>
      <c r="C22" s="25"/>
      <c r="D22" s="25"/>
      <c r="E22" s="25"/>
      <c r="F22" s="25"/>
      <c r="G22" s="25"/>
      <c r="H22" s="14"/>
      <c r="I22" s="14"/>
      <c r="J22" s="14"/>
    </row>
    <row r="24" spans="1:13" x14ac:dyDescent="0.35">
      <c r="A24" s="2" t="s">
        <v>18</v>
      </c>
      <c r="B24" s="21"/>
      <c r="C24" s="1" t="s">
        <v>19</v>
      </c>
    </row>
    <row r="26" spans="1:13" x14ac:dyDescent="0.35">
      <c r="A26" s="1" t="s">
        <v>7</v>
      </c>
      <c r="B26" s="3" t="str">
        <f>IF(B24=0,"",IF(B24&lt;40,25,IF(AND(B24&gt;39,B24&lt;50),"არა",IF(AND(B24&gt;49,B24&lt;70),"არა",IF(AND(B24&gt;69,B24&lt;111),"არა",IF(AND(B24&gt;110,B24&lt;121),"არა",IF(AND(B24&gt;120,B24&lt;131),"არა",IF(AND(B24&gt;130,B24&lt;141),"არა",IF(AND(B24&gt;140,B24&lt;151),"არა",IF(B24&gt;150,"არა",""))))))))))</f>
        <v/>
      </c>
      <c r="C26" s="36" t="str">
        <f>IF(B26=80,"ერთეული/კგ ანუ",IF(B26=40,"ერთეული/კგ ანუ",IF(B26=25,"ერთეული/კგ ანუ","")))</f>
        <v/>
      </c>
      <c r="D26" s="36"/>
      <c r="E26" s="13" t="str">
        <f>IF(B26=80,K7*B26,IF(B26=40,K7*B26,IF(B26=25,K7*B26,"")))</f>
        <v/>
      </c>
      <c r="F26" s="1" t="str">
        <f>IF(B26=80,"ერთ. ანუ",IF(B26=40,"ერთ. ანუ",IF(B26=25,"ერთ. ანუ","")))</f>
        <v/>
      </c>
      <c r="G26" s="12" t="str">
        <f>IF(B26=80,E26*5/25000,IF(B26=40,E26*5/25000,IF(B26=25,E26*5/25000,"")))</f>
        <v/>
      </c>
      <c r="H26" s="1" t="str">
        <f>IF(B26=80,"მლ.ჰეპარინი",IF(B26=40,"მლ.ჰეპარინი",IF(B26=25,"მლ.ჰეპარინი","")))</f>
        <v/>
      </c>
    </row>
    <row r="28" spans="1:13" x14ac:dyDescent="0.35">
      <c r="A28" s="40" t="str">
        <f>IF(B24=0,"",IF(B24&lt;40,"გაზარდეთ ინფუზიის სიჩქარე",IF(AND(B24&gt;39,B24&lt;50),"გაზარდეთ ინფუზიის სიჩქარე",IF(AND(B24&gt;49,B24&lt;70),"გაზარდეთ ინფუზიის სიჩქარე",IF(AND(B24&gt;69,B24&lt;111),"გააგრძელეთ ინფუზია იგივე სიჩქარით. ორჯერადი თერაპიული დიაპაზონის შემთხვევაში aPTT გააკონტროლოთ დღეში ერთჯერ",IF(AND(B24&gt;110,B24&lt;121),"შეამცირეთ ინფუზიის სიჩქარე",IF(AND(B24&gt;120,B24&lt;131),"შეაჩერეთ ინფუზია 1 საათით. შემდეგ შეამცირეთ ინფუზიის სიჩქარე",IF(AND(B24&gt;130,B24&lt;141),"შეაჩერეთ ინფუზია 1 საათით. შემდეგ შეამცირეთ ინფუზიის სიჩქარე",IF(AND(B24&gt;140,B24&lt;151),"შეაჩერეთ ინფუზია 2 საათით. შემდეგ შეამცირეთ ინფუზიის სიჩქარე",IF(B24&gt;150,"შეაჩერეთ ინფუზია 2 საათით. შემდეგ შეამცირეთ ინფუზიის სიჩქარე",""))))))))))</f>
        <v/>
      </c>
      <c r="B28" s="40"/>
      <c r="C28" s="40"/>
      <c r="D28" s="40"/>
      <c r="E28" s="40"/>
      <c r="F28" s="40"/>
      <c r="G28" s="40"/>
      <c r="H28" s="40"/>
      <c r="I28" s="40"/>
      <c r="J28" s="17" t="str">
        <f>IF(B24=0,"",IF(B24&lt;40,3,IF(AND(B24&gt;39,B24&lt;50),2,IF(AND(B24&gt;49,B24&lt;70),1,IF(AND(B24&gt;69,B24&lt;111),"",IF(AND(B24&gt;110,B24&lt;121),1,IF(AND(B24&gt;120,B24&lt;131),2,IF(AND(B24&gt;130,B24&lt;141),3,IF(AND(B24&gt;140,B24&lt;151),4,IF(B24&gt;150,5,""))))))))))</f>
        <v/>
      </c>
      <c r="K28" s="6" t="str">
        <f>IF(B24=0,"",IF(AND(B24&gt;60,B24&lt;81),"",IF(AND(B24&gt;69,B24&lt;111),"","ერთ/კგ/სთ-ით ანუ")))</f>
        <v/>
      </c>
      <c r="M28" s="2"/>
    </row>
    <row r="29" spans="1:13" x14ac:dyDescent="0.35">
      <c r="A29" s="40"/>
      <c r="B29" s="40"/>
      <c r="C29" s="40"/>
      <c r="D29" s="40"/>
      <c r="E29" s="40"/>
      <c r="F29" s="40"/>
      <c r="G29" s="40"/>
      <c r="H29" s="40"/>
      <c r="I29" s="40"/>
    </row>
    <row r="30" spans="1:13" x14ac:dyDescent="0.35">
      <c r="J30" s="17" t="str">
        <f>IF(B24=0,"",IF(B24&lt;40,J28*K7,IF(AND(B24&gt;34,B24&lt;46),J28*K7,IF(AND(B24&gt;45,B24&lt;61),J28*K7,IF(AND(B24&gt;69,B24&lt;111),"",IF(AND(B24&gt;110,B24&lt;121),J28*K7,IF(AND(B24&gt;120,B24&lt;131),J28*K7,IF(AND(B24&gt;130,B24&lt;141),J28*K7,IF(AND(B24&gt;140,B24&lt;151),J28*K7,IF(B24&gt;150,J28*K7,""))))))))))</f>
        <v/>
      </c>
      <c r="K30" s="1" t="str">
        <f>IF(B24=0,"",IF(AND(B24&gt;60,B24&lt;81),"",IF(AND(B24&gt;69,B24&lt;111),"","ერთ/სთ-ით ანუ")))</f>
        <v/>
      </c>
    </row>
    <row r="32" spans="1:13" x14ac:dyDescent="0.35">
      <c r="J32" s="15" t="str">
        <f>IF(B24=0,"",IF(B24&lt;40,J30/D14,IF(AND(B24&gt;34,B24&lt;46),J30/D14,IF(AND(B24&gt;45,B24&lt;61),J30/D14,IF(AND(B24&gt;69,B24&lt;111),"",IF(AND(B24&gt;110,B24&lt;121),J30/D14,IF(AND(B24&gt;120,B24&lt;131),J30/D14,IF(AND(B24&gt;130,B24&lt;141),J30/D14,IF(AND(B24&gt;140,B24&lt;151),J30/D14,IF(B24&gt;150,J30/D14,""))))))))))</f>
        <v/>
      </c>
      <c r="K32" s="1" t="str">
        <f>IF(B24=0,"",IF(AND(B24&gt;60,B24&lt;81),"",IF(AND(B24&gt;69,B24&lt;111),"","მლ/სთ-ით")))</f>
        <v/>
      </c>
    </row>
  </sheetData>
  <sheetProtection algorithmName="SHA-512" hashValue="jEBvPSDIn4UNIRtdXMvFTL9P5v1btRFaqKcxyH1mZ7uRR8qDkPM82Jo+xVjlXcuZMN3ifJK8oBfMlkge2u1+bw==" saltValue="rib5jszwJDLHniRbMeqgLA==" spinCount="100000" sheet="1" objects="1" scenarios="1"/>
  <mergeCells count="12">
    <mergeCell ref="A22:G22"/>
    <mergeCell ref="C26:D26"/>
    <mergeCell ref="A28:I29"/>
    <mergeCell ref="A1:O2"/>
    <mergeCell ref="A3:O5"/>
    <mergeCell ref="B7:F7"/>
    <mergeCell ref="A11:O12"/>
    <mergeCell ref="A14:C14"/>
    <mergeCell ref="E14:G14"/>
    <mergeCell ref="A16:G16"/>
    <mergeCell ref="D20:E20"/>
    <mergeCell ref="G20:H20"/>
  </mergeCells>
  <conditionalFormatting sqref="I9">
    <cfRule type="containsErrors" dxfId="6" priority="5">
      <formula>ISERROR(I9)</formula>
    </cfRule>
  </conditionalFormatting>
  <conditionalFormatting sqref="E26">
    <cfRule type="notContainsBlanks" dxfId="5" priority="4">
      <formula>LEN(TRIM(E26))&gt;0</formula>
    </cfRule>
  </conditionalFormatting>
  <conditionalFormatting sqref="G26">
    <cfRule type="notContainsBlanks" dxfId="4" priority="3">
      <formula>LEN(TRIM(G26))&gt;0</formula>
    </cfRule>
    <cfRule type="notContainsBlanks" dxfId="3" priority="7">
      <formula>LEN(TRIM(G26))&gt;0</formula>
    </cfRule>
  </conditionalFormatting>
  <conditionalFormatting sqref="J28">
    <cfRule type="notContainsBlanks" dxfId="2" priority="2">
      <formula>LEN(TRIM(J28))&gt;0</formula>
    </cfRule>
  </conditionalFormatting>
  <conditionalFormatting sqref="J30">
    <cfRule type="notContainsBlanks" dxfId="1" priority="6">
      <formula>LEN(TRIM(J30))&gt;0</formula>
    </cfRule>
  </conditionalFormatting>
  <conditionalFormatting sqref="J32">
    <cfRule type="notContainsBlanks" dxfId="0" priority="1">
      <formula>LEN(TRIM(J32))&gt;0</formula>
    </cfRule>
  </conditionalFormatting>
  <printOptions gridLines="1"/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Wellington</vt:lpstr>
      <vt:lpstr>UpToDate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2020-12-15T15:22:52Z</dcterms:created>
  <dcterms:modified xsi:type="dcterms:W3CDTF">2020-12-23T19:06:59Z</dcterms:modified>
</cp:coreProperties>
</file>