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4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lculators\Calculation\"/>
    </mc:Choice>
  </mc:AlternateContent>
  <xr:revisionPtr revIDLastSave="0" documentId="13_ncr:1_{81CB268F-3B8F-49A3-96F4-8B8C9EF796B2}" xr6:coauthVersionLast="47" xr6:coauthVersionMax="47" xr10:uidLastSave="{00000000-0000-0000-0000-000000000000}"/>
  <bookViews>
    <workbookView xWindow="-110" yWindow="-110" windowWidth="19420" windowHeight="11020" xr2:uid="{CB4127BF-A7F1-4325-B734-BEAA7736A2CF}"/>
  </bookViews>
  <sheets>
    <sheet name="Main" sheetId="1" r:id="rId1"/>
    <sheet name="Sheet" sheetId="2" r:id="rId2"/>
    <sheet name="DASI" sheetId="3" r:id="rId3"/>
    <sheet name="Switching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4" l="1"/>
  <c r="A56" i="4"/>
  <c r="A48" i="4"/>
  <c r="A40" i="4"/>
  <c r="A31" i="4"/>
  <c r="A28" i="4"/>
  <c r="B13" i="4"/>
  <c r="B12" i="4"/>
  <c r="B11" i="4"/>
  <c r="A10" i="4"/>
  <c r="A172" i="2" l="1"/>
  <c r="A171" i="2"/>
  <c r="A170" i="2"/>
  <c r="A162" i="2"/>
  <c r="E168" i="2" s="1"/>
  <c r="A58" i="2"/>
  <c r="C160" i="2"/>
  <c r="A132" i="2"/>
  <c r="A131" i="2"/>
  <c r="A178" i="2" l="1"/>
  <c r="E165" i="2"/>
  <c r="E166" i="2"/>
  <c r="E167" i="2"/>
  <c r="B189" i="2" l="1"/>
  <c r="B192" i="2"/>
  <c r="B191" i="2"/>
  <c r="B190" i="2"/>
  <c r="B184" i="2"/>
  <c r="B185" i="2"/>
  <c r="B187" i="2"/>
  <c r="B186" i="2"/>
  <c r="A83" i="2" l="1"/>
  <c r="A91" i="2"/>
  <c r="A87" i="2"/>
  <c r="A90" i="2"/>
  <c r="A89" i="2"/>
  <c r="A88" i="2"/>
  <c r="A86" i="2"/>
  <c r="A85" i="2"/>
  <c r="A84" i="2"/>
  <c r="C56" i="2"/>
  <c r="J45" i="2"/>
  <c r="J43" i="2"/>
  <c r="J41" i="2"/>
  <c r="J39" i="2"/>
  <c r="J37" i="2"/>
  <c r="J22" i="3"/>
  <c r="J20" i="3"/>
  <c r="J18" i="3"/>
  <c r="J16" i="3"/>
  <c r="J26" i="3"/>
  <c r="J24" i="3"/>
  <c r="J14" i="3"/>
  <c r="J12" i="3"/>
  <c r="J10" i="3"/>
  <c r="J8" i="3"/>
  <c r="J6" i="3"/>
  <c r="J4" i="3"/>
  <c r="E18" i="2"/>
  <c r="C26" i="2" s="1"/>
  <c r="J35" i="2" l="1"/>
  <c r="J46" i="2" s="1"/>
  <c r="C47" i="2" s="1"/>
  <c r="H48" i="2" s="1"/>
  <c r="C32" i="2"/>
  <c r="C27" i="2"/>
  <c r="C28" i="2"/>
  <c r="C25" i="2"/>
  <c r="C24" i="2"/>
  <c r="J27" i="3"/>
  <c r="C29" i="3" s="1"/>
  <c r="B30" i="3" s="1"/>
  <c r="H28" i="2" l="1"/>
  <c r="E31" i="2"/>
  <c r="E30" i="2"/>
  <c r="C30" i="2"/>
  <c r="C31" i="2"/>
  <c r="E29" i="2"/>
  <c r="C29" i="2"/>
</calcChain>
</file>

<file path=xl/sharedStrings.xml><?xml version="1.0" encoding="utf-8"?>
<sst xmlns="http://schemas.openxmlformats.org/spreadsheetml/2006/main" count="280" uniqueCount="255">
  <si>
    <t xml:space="preserve">პაციენტის კარდიოვასკულური შეფასება არაკარდიული ქირურგიული ჩარევის წინ </t>
  </si>
  <si>
    <t>პაციენტი</t>
  </si>
  <si>
    <t>ასაკი</t>
  </si>
  <si>
    <t>თარიღი</t>
  </si>
  <si>
    <t>ზედაპირული ქირურგია</t>
  </si>
  <si>
    <t>ფილტვის ვიდეოასისტირებადი მცირე რეზექცია</t>
  </si>
  <si>
    <t>კაროტიდული (უსიმპტომო) ენდარტერექტომია ან სტენტირება</t>
  </si>
  <si>
    <t>კაროტიდული (სიმპტომური) ენდარტერექტომია</t>
  </si>
  <si>
    <t>აორტის ანევრიზმის ენდოვასკულური პლასტიკა</t>
  </si>
  <si>
    <t>თვის ან კისრის ქირურგია</t>
  </si>
  <si>
    <t>სპლენექტომია, საყლაპავის ხვრელის თიაქარპლასტიკა, ქოლეცისტექტომია</t>
  </si>
  <si>
    <t>მცირე ინტრათორაკალური ოპერაცია</t>
  </si>
  <si>
    <t>დიდი ნევროლოგიური ან ორთოპედიული ოპერაცია</t>
  </si>
  <si>
    <t>პერიფერიული არტერიების ანგიოპლასტიკა</t>
  </si>
  <si>
    <t>თირკმლის ტრანსპლანტაცია</t>
  </si>
  <si>
    <t>დიდი უროლოგიური ან გინეკოლოგიური ოპერაცია</t>
  </si>
  <si>
    <t>თირკმელზედა ჯირკვლის რეზექცია</t>
  </si>
  <si>
    <t>აორტის ანდა დიდი სისხლძარღვების ქირურგია</t>
  </si>
  <si>
    <t>კაროტიდული არტერიების (სიმპტომური) სტენტირება</t>
  </si>
  <si>
    <t>დუოდენურ-პანკრეასული ქირურგია</t>
  </si>
  <si>
    <t>ღვიძლის რეზექცია, სანაღვლე სადინრის ქირურგია</t>
  </si>
  <si>
    <t>ეზოფაგექტომია</t>
  </si>
  <si>
    <t>პნევმონექტომია</t>
  </si>
  <si>
    <t xml:space="preserve">ფილტვის ან ღვიძლის ტრანსპლანტანტი </t>
  </si>
  <si>
    <t>პერფორირებული ნაწლავის მთლიანობის აღდეგა</t>
  </si>
  <si>
    <t>ტოტალური ცსიტექტომია</t>
  </si>
  <si>
    <t>დაგეგმილი ოპერაციული ჩარევა</t>
  </si>
  <si>
    <t>მამოლოგიური ოპერაცია</t>
  </si>
  <si>
    <t>სტომატოლოგიური ოპერაცია</t>
  </si>
  <si>
    <t>ენდოკრინული (ფარისებრი ჯირკვალი) ოპერაცია</t>
  </si>
  <si>
    <t>ოფთალმოლოგიური ოპერაცია</t>
  </si>
  <si>
    <t>მცირე გინეკოლოგიური ჩარევა</t>
  </si>
  <si>
    <t>მცირე ორთოპედიული ჩარევა (მენისკექტომია)</t>
  </si>
  <si>
    <t>რეკონსტრუქციული ოპერაცია</t>
  </si>
  <si>
    <t>მცირე უროლოგიური ოპერაცია (პროსტატის ტურ)</t>
  </si>
  <si>
    <t xml:space="preserve">ქირურგიული ოპერაციის რისკი: </t>
  </si>
  <si>
    <t>კარდიოვასკულური რისკ-ფაქტორ(ებ)ი</t>
  </si>
  <si>
    <t>ჰიპერტენზია</t>
  </si>
  <si>
    <t>მწეველობა</t>
  </si>
  <si>
    <t>დისლიპიდემია</t>
  </si>
  <si>
    <t>შაქრიანი დიაბეტი</t>
  </si>
  <si>
    <t>კარდიოვასკულური დაავადების ოჯახური ანამნეზი</t>
  </si>
  <si>
    <t>დადასტურებული კარდიოვასკულური დაავადება</t>
  </si>
  <si>
    <t>კი</t>
  </si>
  <si>
    <t>არა</t>
  </si>
  <si>
    <t>ქვედა კიდურის მწვავე იშემიის გამო ღია რევასკულარიზაცია/ამპუტაცია</t>
  </si>
  <si>
    <t>კვლევის საჭიროება</t>
  </si>
  <si>
    <t>→</t>
  </si>
  <si>
    <t>დიუკის აქტივობის სტატუსის ინდექსი ანუ DASI</t>
  </si>
  <si>
    <t>* შეგიძლიათ თუ არა თავის მოვლა (მაგ., ჭამა, ჩაცმა, ბანაობა და ა.შ.)?</t>
  </si>
  <si>
    <t>* შეგიძლიათ თუ არა ბინაში გადაადგილება?</t>
  </si>
  <si>
    <t>* შეგიძლიათ თუ არა სწორ ზედაპირზე სიარულით 1-2 კვარტლის გავლა?</t>
  </si>
  <si>
    <t>* შეგიძლიათ თუ არა კიბეზე ასვლა ან აღმართში სიარული?</t>
  </si>
  <si>
    <t>* შეგიძლიათ თუ არა მოკლე დისტანციაზე სირბილი?</t>
  </si>
  <si>
    <t>* ასრულებთ თუ არა სახლის მსუბუქ სამუშაოს (მაგ., დაგვა, ჭურჭლის რეცხვა)?</t>
  </si>
  <si>
    <t>* ასრულებთ თუ არა სახლის მძიმე სამუშაოს (მაგ., ავეჯის გადაადგილება)?</t>
  </si>
  <si>
    <t>* ასრულებთ თუ ეზოს სამუშაოებს (მაგ., ფარცხვა, გამარგვლა, ბალახის კრეჭა)?</t>
  </si>
  <si>
    <t>* გაქვთ თუ არა სექსუალური ურთიერთობა?</t>
  </si>
  <si>
    <t>*დაკავებული ხართ თუ არა ზომიერი სპორტული აქტივობით?</t>
  </si>
  <si>
    <t>*დაკავებული ხართ თუ არა ინტენსიური სპორტული აქტივობით?</t>
  </si>
  <si>
    <t>* ასრულებთ თუ არა სახლის ზომიერ სამუშაოს (მაგ., მტვერსასრუტის გამოყენება)?</t>
  </si>
  <si>
    <t>MET=</t>
  </si>
  <si>
    <r>
      <t>VO</t>
    </r>
    <r>
      <rPr>
        <vertAlign val="subscript"/>
        <sz val="11"/>
        <color theme="0"/>
        <rFont val="Calibri"/>
        <family val="2"/>
        <charset val="204"/>
        <scheme val="minor"/>
      </rPr>
      <t>2</t>
    </r>
    <r>
      <rPr>
        <sz val="11"/>
        <color theme="0"/>
        <rFont val="Calibri"/>
        <family val="2"/>
        <charset val="204"/>
        <scheme val="minor"/>
      </rPr>
      <t xml:space="preserve"> peak (mL/kg)=</t>
    </r>
  </si>
  <si>
    <t>კარდიული რისკის რევიზირებული ინდექსი ანუ RCRI</t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</si>
  <si>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იშემიური დაავადების ანამნეზი</t>
    </r>
    <r>
      <rPr>
        <sz val="10"/>
        <color theme="1"/>
        <rFont val="Calibri"/>
        <family val="2"/>
        <charset val="204"/>
        <scheme val="minor"/>
      </rPr>
      <t xml:space="preserve"> (მიოკარდიუმის ინფარქტის ანამნეზი, დადებითი დატვირთვის ტესტის ანამნეზი, მიმდინარე იშემიური რეტროსტერნალური ტკივილი, ნიტრატის გამოყენება ან პათოლოგიური Q კბილი  </t>
    </r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</si>
  <si>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მაღალი ქირურგიული რისკი</t>
    </r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</si>
  <si>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გულის შეგუბებითი უკმარისობის ანამნეზი</t>
    </r>
    <r>
      <rPr>
        <sz val="10"/>
        <color theme="1"/>
        <rFont val="Calibri"/>
        <family val="2"/>
        <charset val="204"/>
        <scheme val="minor"/>
      </rPr>
      <t xml:space="preserve"> (ფილტვების შეშუპება, ღამის პაროქსიზმული ქოშინი, რენტგენოლოგიურად პულმონური ვასკულარული რედისტრიბუცია)  </t>
    </r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</si>
  <si>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ცერებროვასკულური დაავადების ანამნეზი</t>
    </r>
    <r>
      <rPr>
        <sz val="10"/>
        <color theme="1"/>
        <rFont val="Calibri"/>
        <family val="2"/>
        <charset val="204"/>
        <scheme val="minor"/>
      </rPr>
      <t xml:space="preserve"> (ტრანზიტული იშემია ან ინსულტი)</t>
    </r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</si>
  <si>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პრეოპერაციული მკურნალობა ინსულინით</t>
    </r>
  </si>
  <si>
    <t xml:space="preserve">RCRI ქულა: </t>
  </si>
  <si>
    <t>არაკარდიული ქირურგიული ჩარევიდან 30 დღის განმავლობაში ძირითდი კარდიოვასკულური გართულებების (სიკვდილი, მიოკარდიუმის ინფარქტი ან გულის გაჩერება) რისკი:</t>
  </si>
  <si>
    <t>კატარაქტის ან გლაუკომის პროცედურა</t>
  </si>
  <si>
    <t xml:space="preserve">დენტალური პროცედურა </t>
  </si>
  <si>
    <t>ენდოსკოპია ბიფსიის ან რეზექციის გარეშე</t>
  </si>
  <si>
    <t>აბსცესის გაკვეთა, კანის მცირე ექსციზია, ბიოფსია</t>
  </si>
  <si>
    <t>ქოლეცისტექტომია, თიაქარპლასტიკა, კოლინჯის რეზექცია</t>
  </si>
  <si>
    <t>სარძევე ჯირკვლის ქირურგია</t>
  </si>
  <si>
    <t>კომპლექსური დენტალური პროცედურები</t>
  </si>
  <si>
    <t xml:space="preserve">1-3 კბილის ექსტრაქცია, პერიოდონტალური ქირირგია, ენდოდონტირუი პროცედურა, იმპლანტის პოზოცოპმირება, სუბგინგივალური ჩარევა </t>
  </si>
  <si>
    <t>&gt;3 კბილის ექსტრაქცია</t>
  </si>
  <si>
    <t>ენდოსკოპია მარტივი ბიოფსიით</t>
  </si>
  <si>
    <t>ძვლის ტვინის ან ლიმფური კვანძის ბიოფსია</t>
  </si>
  <si>
    <t xml:space="preserve">არაკატარაქტული ოფთალმოლოგიური ოპერაცია </t>
  </si>
  <si>
    <t xml:space="preserve">მცირე ოერთოპედიული ქირურგია </t>
  </si>
  <si>
    <t>ექსტრაკორპორალური შოკური ლითოტრიფსია</t>
  </si>
  <si>
    <t>გაფართოებული ონკოლოგიური ქირურგია</t>
  </si>
  <si>
    <t>მაგ.,  პანკრეასის, ღვიძლის</t>
  </si>
  <si>
    <t>ნეიროქსიალური (სპინალური ან ეპიდურული) ანესთეზია</t>
  </si>
  <si>
    <t>ნეიროქირურგია (ინტრაკრანიული, სპინალური)</t>
  </si>
  <si>
    <t>დიდი ორთოპედიული ჩარევა</t>
  </si>
  <si>
    <t xml:space="preserve">ვასკულარული ორგანოების ბიოფსია </t>
  </si>
  <si>
    <t>თირკმელი, პროსტატა</t>
  </si>
  <si>
    <t>რეკონსტრუქციული პლასტიკური ქირურგია</t>
  </si>
  <si>
    <t>მსხვილი ნაწლავის პოლიპექტომია</t>
  </si>
  <si>
    <t>ლუმბალური პუნქცია</t>
  </si>
  <si>
    <t>ანევრიზმის ენდოვასკულური ქირურგია</t>
  </si>
  <si>
    <t>თორაკალური ქირურგია, ფილტვის რეზექცია</t>
  </si>
  <si>
    <t>უროლოგიური ქირურგია</t>
  </si>
  <si>
    <t>პროსტატექტომია, შარდის ბუშტის სიმსივნის რეზექცია</t>
  </si>
  <si>
    <t>სისხლძარღვოვანი ქირურგია</t>
  </si>
  <si>
    <t>მაგ., მუცლის აორტის ანევრიზმის ქირურგია, სისხლძარღვოვანი შუნტის ფორმირება</t>
  </si>
  <si>
    <t>სისხლდენის უმნიშვნელო რისკი</t>
  </si>
  <si>
    <t>სისხლდენის მცირე რისკი (იშვიათი ან კლინიკურად მცირე მნიშვნელობის სისხლდენა)</t>
  </si>
  <si>
    <t>სისხლდენის მაღალი რისკი (ხშირი ან კლინიკურად მნიშვნელოვანი სისხლდენა)</t>
  </si>
  <si>
    <t>არაკარდიული ქირურგიული ჩარევის ტიპის შესაბამისი სისხლდენის რისკი</t>
  </si>
  <si>
    <t>ქირურგიული ჩარევა</t>
  </si>
  <si>
    <t>აბდომინური ქირურგია</t>
  </si>
  <si>
    <t>ტერფი, ხელის ართროსკოპია</t>
  </si>
  <si>
    <t xml:space="preserve">ევროპის კარდიოლოგთა საზოგადოების (ESC) და ევროპის ანესთეზიოლოგიiს და ინტენსიური თერაპიის საზოგადოების (ESAIC) კონსენსუსი  </t>
  </si>
  <si>
    <r>
      <t xml:space="preserve">* </t>
    </r>
    <r>
      <rPr>
        <u/>
        <sz val="10"/>
        <color theme="1"/>
        <rFont val="Calibri"/>
        <family val="2"/>
        <charset val="204"/>
        <scheme val="minor"/>
      </rPr>
      <t>პრეოპერაციული კრეატინინი &gt;2 mg/dL / 176.8 µmol/L</t>
    </r>
  </si>
  <si>
    <t>ან</t>
  </si>
  <si>
    <t>* მწვავე კორონარული სინდრომის ეპიზოდიდან გასულია &lt;3 თვე</t>
  </si>
  <si>
    <t>* ანტიაგრეგაციულ თერაპიაზე სტენტთრომბოზის ანამნეზი</t>
  </si>
  <si>
    <r>
      <rPr>
        <u/>
        <sz val="10"/>
        <color theme="1"/>
        <rFont val="Calibri"/>
        <family val="2"/>
        <charset val="204"/>
        <scheme val="minor"/>
      </rPr>
      <t>იმყოფება თუ არა პაციენტი ორმაგ ანტიაგრეგაციულ თერაპიაზე?</t>
    </r>
    <r>
      <rPr>
        <sz val="10"/>
        <color theme="1"/>
        <rFont val="Calibri"/>
        <family val="2"/>
        <charset val="204"/>
        <scheme val="minor"/>
      </rPr>
      <t>...................</t>
    </r>
  </si>
  <si>
    <t>* მარცხენა პარკუჭის განდევნის ფრაქციის დაქვეითება (&lt;40%)</t>
  </si>
  <si>
    <t>* გაუკონტროლებელი დიაბეტი</t>
  </si>
  <si>
    <t>* თირკმლის ფუნქციის მძიმე მოშლა/დიალიზი</t>
  </si>
  <si>
    <t>* არის სტენტთრომბოზის მაღალი რისკი (ჩამოთვლილთაგან ერთი მაინც):</t>
  </si>
  <si>
    <t xml:space="preserve">* კომპლექსური კანგავლითი კორონარული ინტერვენცია </t>
  </si>
  <si>
    <t xml:space="preserve">(მაგ., მძიმე კალციფიცირებული დაზიანება, ღეროს დაზიანება, </t>
  </si>
  <si>
    <t>ქრონიკული ტოტალური ოკლუზია, ბიფურკაციული/კრაშ-ტექნიკა,</t>
  </si>
  <si>
    <t>შუნტის სტენტირება)</t>
  </si>
  <si>
    <t>* სტენტის მალპოზიცია ან რეზიდუალური დისსექცია</t>
  </si>
  <si>
    <t>რეკომენდაცია:</t>
  </si>
  <si>
    <t>გაგრძელდეს დუალური ანტიაგრეგაციული თერაპია</t>
  </si>
  <si>
    <t>აბდომინური ქირურგია ღვიძლის ბიოფსიით</t>
  </si>
  <si>
    <t>* კანგავლითი კორონარული ინტერვენციიდან გასულია &lt;1 თვე</t>
  </si>
  <si>
    <r>
      <t>არის თუ არა თრომბოზის მაღალი რისკი?</t>
    </r>
    <r>
      <rPr>
        <sz val="10"/>
        <color theme="0" tint="-0.249977111117893"/>
        <rFont val="Calibri"/>
        <family val="2"/>
        <charset val="204"/>
        <scheme val="minor"/>
      </rPr>
      <t>.............................................................</t>
    </r>
  </si>
  <si>
    <r>
      <rPr>
        <u/>
        <sz val="10"/>
        <color theme="0" tint="-0.249977111117893"/>
        <rFont val="Calibri"/>
        <family val="2"/>
        <charset val="204"/>
        <scheme val="minor"/>
      </rPr>
      <t>არის თუ არა ქირურგიული ჩარევა სასწრაფო-დაყოვნებული ტიპის?</t>
    </r>
    <r>
      <rPr>
        <sz val="10"/>
        <color theme="0" tint="-0.249977111117893"/>
        <rFont val="Calibri"/>
        <family val="2"/>
        <charset val="204"/>
        <scheme val="minor"/>
      </rPr>
      <t>.................</t>
    </r>
  </si>
  <si>
    <t>* გაგრძელდეს ასპირინი</t>
  </si>
  <si>
    <t>* შეჩერდეს P2Y12 ინჰიბიტორი:</t>
  </si>
  <si>
    <t>* კლოპიდოგრელი ოპერაციამდე 5 დღით ადრე</t>
  </si>
  <si>
    <t>* ტიკაგრელორი ოპერაციამდე 3-5 დღით დრე</t>
  </si>
  <si>
    <t>* პრასუგრელი ოპერაციამდე 7 დღით ადრე</t>
  </si>
  <si>
    <t>ბრიჯინგი გლიკოპროტეინ IIb/IIIa ინჰიბიტორით ან კანგრელორით</t>
  </si>
  <si>
    <t>* შეწყდეს პრასუგრელი ოპერაციამდე 7 დღით ადრე</t>
  </si>
  <si>
    <t>* შეწყდეს კლოპიდოგრელი/ტიკაგრელორი ოპერაციამდე 5 დღით ადრე</t>
  </si>
  <si>
    <t>* ოპერაციიდან 4-6 სთ-ის შემდეგ დაიწყეთ კლოპიდოგრელი ჯერ 300 მგ და შემდეგ 75 მგ</t>
  </si>
  <si>
    <t>* გააგრძელეთ ასპირინი დაბალი დოზით</t>
  </si>
  <si>
    <t>* ოპერაციამდე 3 დღით ადრე დაიწყეთ ტიროფიბანის/ეპტიფიბატიდის ან კანგრელორის ინფუზია</t>
  </si>
  <si>
    <t>და ტიროფიბანი/ეპტიფიბატიდი შეწყვიტეთ ოპერაციამდე 4-6 სთ-ით, ხოლო კანგრელორი 1-6 სთ-ით ადრე</t>
  </si>
  <si>
    <t>* აღადგინეთ ტიროფიბანის/ეპტიფიბატიდის ან კანგრელორის ინფუზია</t>
  </si>
  <si>
    <t>ოპერაცია უნდა გადაიდოს!</t>
  </si>
  <si>
    <r>
      <rPr>
        <u/>
        <sz val="10"/>
        <color theme="1"/>
        <rFont val="Calibri"/>
        <family val="2"/>
        <charset val="204"/>
        <scheme val="minor"/>
      </rPr>
      <t>იმყოფება თუ არა პაციენტი ვიტამინ K-ს ანტაგონისტით თერაპიაზე?</t>
    </r>
    <r>
      <rPr>
        <sz val="10"/>
        <color theme="1"/>
        <rFont val="Calibri"/>
        <family val="2"/>
        <charset val="204"/>
        <scheme val="minor"/>
      </rPr>
      <t>...................</t>
    </r>
  </si>
  <si>
    <r>
      <rPr>
        <u/>
        <sz val="10"/>
        <color theme="0" tint="-0.249977111117893"/>
        <rFont val="Calibri"/>
        <family val="2"/>
        <charset val="204"/>
        <scheme val="minor"/>
      </rPr>
      <t>აქვს თუ არა პაციენტს გულის მექანიკური სარქველი</t>
    </r>
    <r>
      <rPr>
        <sz val="10"/>
        <color theme="0" tint="-0.249977111117893"/>
        <rFont val="Calibri"/>
        <family val="2"/>
        <charset val="204"/>
        <scheme val="minor"/>
      </rPr>
      <t>?..............................................</t>
    </r>
  </si>
  <si>
    <r>
      <rPr>
        <u/>
        <sz val="10"/>
        <color theme="0" tint="-0.249977111117893"/>
        <rFont val="Calibri"/>
        <family val="2"/>
        <charset val="204"/>
        <scheme val="minor"/>
      </rPr>
      <t>არის თუ არა თრომბოემბოლიზმის ძალიან მაღალი რისკი?</t>
    </r>
    <r>
      <rPr>
        <sz val="10"/>
        <color theme="0" tint="-0.249977111117893"/>
        <rFont val="Calibri"/>
        <family val="2"/>
        <charset val="204"/>
        <scheme val="minor"/>
      </rPr>
      <t>...................................</t>
    </r>
  </si>
  <si>
    <t>* ინსულტი &lt;3 თვის განმავლობაში</t>
  </si>
  <si>
    <t>* განმეორებითი ვენური თრომბოემბოლიზმის მაღლი რისკი</t>
  </si>
  <si>
    <t>* მარცხენა პარკუჭის მწვერვალის თრომბი</t>
  </si>
  <si>
    <t>* წინაგულების ფიბრილაცია ინსულტის ძალიან მაღალი რისკით</t>
  </si>
  <si>
    <t>* ვარფარინის ხანმოკლე შეწყვეტა ან გაგრძელება INR-ის დაბალ დონეზე</t>
  </si>
  <si>
    <t>* არ არის საჭირო ბრიჯინგი არაფრაქცირებული ან დაბალმოლეკულური ჰეპარინით</t>
  </si>
  <si>
    <r>
      <t>არის თუ არა თრომბოზის მაღალი რისკი?</t>
    </r>
    <r>
      <rPr>
        <sz val="10"/>
        <rFont val="Calibri"/>
        <family val="2"/>
        <charset val="204"/>
        <scheme val="minor"/>
      </rPr>
      <t>.............................................................</t>
    </r>
  </si>
  <si>
    <t>* შეწყვიტეთ ანტიკოაგულაცია</t>
  </si>
  <si>
    <t>* გააგრძელეთ ვიტამინი K-ს ანტაგონისტი</t>
  </si>
  <si>
    <t>* ბრიჯინგი არაფრაქცირებული ან დაბალმოლეკულური ჰეპარინით</t>
  </si>
  <si>
    <t>და არ არის ოპერაციის გადავადების შანსი</t>
  </si>
  <si>
    <t>რომელ არავიტამინ K-ს ანტაგონისტ ორალურ ანტიკოაგულანტს იღებს პაციენტი?</t>
  </si>
  <si>
    <t>დაბიგატრანს</t>
  </si>
  <si>
    <t>აპიქსაბანს</t>
  </si>
  <si>
    <t>რივაროქსაბანს</t>
  </si>
  <si>
    <t>ედოქსაბანს</t>
  </si>
  <si>
    <t>ოპერაციამდე სამი დღით ადრე</t>
  </si>
  <si>
    <t>ოპერაციამდე ორი დღით ადრე</t>
  </si>
  <si>
    <t>ოპერაციის წინა დღეს</t>
  </si>
  <si>
    <t>დაბიგატრანი დილა-საღამოს</t>
  </si>
  <si>
    <t>აპიქსაბანი დილა-საღამოს</t>
  </si>
  <si>
    <t>რივაროქსაბანი ერთხელ</t>
  </si>
  <si>
    <t>ედოქსაბანი ერთხელ</t>
  </si>
  <si>
    <t>შეიძლება გამოტოვებულ იქნას დაბიგატრანის ღამის დოზა</t>
  </si>
  <si>
    <t>შეიძლება გამოტოვებულ იქნას აპიქსაბანის ღამის დოზა</t>
  </si>
  <si>
    <t>მიღების აღდგენა</t>
  </si>
  <si>
    <t>ოპერაციიდან ≥48-72 საათის შემდეგ</t>
  </si>
  <si>
    <t>ოპერაციიდან ≥24 საათის შემდეგ, დღეში ორჯერ</t>
  </si>
  <si>
    <t>ოპერაციიდან ≥24 საათის შემდეგ, დღეში ერთხელ</t>
  </si>
  <si>
    <t>არ იღებს დაბიგატრანს. არ არის საჭირო ბრიჯინგი*</t>
  </si>
  <si>
    <t>არ იღებს აპიქსაბანს. არ არის საჭირო ბრიჯინგი*</t>
  </si>
  <si>
    <t>არ იღებს რივაროქსაბანს. არ არის საჭირო ბრიჯინგი*</t>
  </si>
  <si>
    <t>არ იღებს ედოქსაბანს. არ არის საჭირო ბრიჯინგი*</t>
  </si>
  <si>
    <t xml:space="preserve">(ii) ორალური ანტიკოაგულაციის შეწყვეტის ფონზე თრომბოემბოლიზმის ანამნეზი </t>
  </si>
  <si>
    <t>* ჰეპარინით ბრიჯინგი განიხილება მაღალი თრომბოემბოლიური რისკის შემთხვევებში:</t>
  </si>
  <si>
    <t>(i) &lt;3 თვის ფარგლებში ისნულტი, სისტემური თრომბოემბოლიზმი ან ღრმა ვენების თრომბოზი</t>
  </si>
  <si>
    <t>ანტიაგრეგაციული თერაპია</t>
  </si>
  <si>
    <t>ანტიკოაგულაციური თერაპია</t>
  </si>
  <si>
    <t>გამოთვლილი გლომერულოფილტრაციის სიჩქარე</t>
  </si>
  <si>
    <t>მლ/წთ</t>
  </si>
  <si>
    <t>≥80</t>
  </si>
  <si>
    <t>50-79</t>
  </si>
  <si>
    <t>30-49</t>
  </si>
  <si>
    <t>15-29</t>
  </si>
  <si>
    <t>&lt;15</t>
  </si>
  <si>
    <t>პერიოპექრაციული UFH/LMWH ბრიჯინგი: არ არის საჭირო</t>
  </si>
  <si>
    <t xml:space="preserve">შეწყვეტა: </t>
  </si>
  <si>
    <t xml:space="preserve">დაბიგატრანი წყდება ოპერაციამდე ≥24 საათით ადრე </t>
  </si>
  <si>
    <t xml:space="preserve">დაბიგატრანი წყდება ოპერაციამდე ≥36 საათით ადრე </t>
  </si>
  <si>
    <t xml:space="preserve">დაბიგატრანი წყდება ოპერაციამდე ≥48 საათით ადრე </t>
  </si>
  <si>
    <t xml:space="preserve">დაბიგატრანი წყდება ოპერაციამდე ≥72 საათით ადრე </t>
  </si>
  <si>
    <t xml:space="preserve">დაბიგატრანი წყდება ოპერაციამდე ≥96 საათით ადრე </t>
  </si>
  <si>
    <t xml:space="preserve">აპიქსაბანი წყდება ოპერაციამდე ≥24 საათით ადრე </t>
  </si>
  <si>
    <t xml:space="preserve">აპიქსაბანი წყდება ოპერაციამდე ≥36 საათით ადრე </t>
  </si>
  <si>
    <t xml:space="preserve">აპიქსაბანი წყდება ოპერაციამდე ≥48 საათით ადრე </t>
  </si>
  <si>
    <t>დაბიგატრანი არ გამოიყენება!</t>
  </si>
  <si>
    <t>აპიქსაბანი არ გამოიყენება!</t>
  </si>
  <si>
    <t xml:space="preserve">რივაროქსაბანი წყდება ოპერაციამდე ≥24 საათით ადრე </t>
  </si>
  <si>
    <t xml:space="preserve">რივაროქსაბანი წყდება ოპერაციამდე ≥36 საათით ადრე </t>
  </si>
  <si>
    <t xml:space="preserve">რივაროქსაბანი წყდება ოპერაციამდე ≥48 საათით ადრე </t>
  </si>
  <si>
    <t>რივაროქსაბანი არ გამოიყენება!</t>
  </si>
  <si>
    <t xml:space="preserve">ედოქსაბანი წყდება ოპერაციამდე ≥24 საათით ადრე </t>
  </si>
  <si>
    <t xml:space="preserve">ედოქსაბანი წყდება ოპერაციამდე ≥36 საათით ადრე </t>
  </si>
  <si>
    <t xml:space="preserve">ედოქსაბანი წყდება ოპერაციამდე ≥48 საათით ადრე </t>
  </si>
  <si>
    <t>ედოქსაბანი არ გამოიყენება!</t>
  </si>
  <si>
    <t>დაბიგატრანი არ არის ნაჩვენები!</t>
  </si>
  <si>
    <t>ანტიკოაგულაციური თერაპია თირკმლის ფუნქციის მიხედვით მომატებული რისკის დროს</t>
  </si>
  <si>
    <t>&gt;80</t>
  </si>
  <si>
    <t xml:space="preserve">დაბიგატრანის აღდგენა ხდება ≥24 საათის შემდეგ </t>
  </si>
  <si>
    <t xml:space="preserve">აპიქსაბანის აღდგენა ხდება ≥24 საათის შემდეგ  </t>
  </si>
  <si>
    <t xml:space="preserve">რივაქროქსაბანის აღდგენა ხდება ≥24 საათის შემდეგ  </t>
  </si>
  <si>
    <t xml:space="preserve">ედოქსაბანის აღდგენა ხდება ≥24 საათის შემდეგ  </t>
  </si>
  <si>
    <t>NOAC არ არის ნაჩვენები!</t>
  </si>
  <si>
    <t xml:space="preserve">დაბიგატრანის აღდგენა ხდება ≥48-72 საათის შემდეგ </t>
  </si>
  <si>
    <t xml:space="preserve">აპიქსაბანის აღდგენა ხდება ≥48-72 საათის შემდეგ  </t>
  </si>
  <si>
    <t xml:space="preserve">რივაქროქსაბანის აღდგენა ხდება ≥48-72 საათის შემდეგ  </t>
  </si>
  <si>
    <t xml:space="preserve">ედოქსაბანის აღდგენა ხდება ≥48-72 საათის შემდეგ  </t>
  </si>
  <si>
    <t xml:space="preserve">აღდგენა: </t>
  </si>
  <si>
    <r>
      <t xml:space="preserve">ოპერაციიდან </t>
    </r>
    <r>
      <rPr>
        <sz val="11"/>
        <color theme="0"/>
        <rFont val="Calibri"/>
        <family val="2"/>
        <charset val="204"/>
      </rPr>
      <t>≥6 საათის შემდეგ</t>
    </r>
    <r>
      <rPr>
        <sz val="11"/>
        <color theme="0"/>
        <rFont val="Calibri"/>
        <family val="2"/>
        <charset val="204"/>
        <scheme val="minor"/>
      </rPr>
      <t xml:space="preserve"> </t>
    </r>
  </si>
  <si>
    <t>ანტიკოაგულაციურ რეჟიმებს შორის გადართვა (switching)</t>
  </si>
  <si>
    <t>≥3.0</t>
  </si>
  <si>
    <t>&lt;3.0 და &gt;2.5</t>
  </si>
  <si>
    <t>≤2.5 და ≥2.0</t>
  </si>
  <si>
    <r>
      <t xml:space="preserve">          ვიტამინი K-ს ანტაგონისტის გადართვა არავიტამინ K-ს ანტაგონისტურ ორალურ ანტიკოაგულანტზე ანუ </t>
    </r>
    <r>
      <rPr>
        <b/>
        <sz val="11"/>
        <color rgb="FFFF0000"/>
        <rFont val="Calibri"/>
        <family val="2"/>
        <scheme val="minor"/>
      </rPr>
      <t>VKA -----&gt;NOAC</t>
    </r>
  </si>
  <si>
    <t>&lt;2.0</t>
  </si>
  <si>
    <t xml:space="preserve">INR </t>
  </si>
  <si>
    <t>&lt;2</t>
  </si>
  <si>
    <t>&gt;2</t>
  </si>
  <si>
    <t>დღეში ორჯერ</t>
  </si>
  <si>
    <t>დღეში ერთჯერ</t>
  </si>
  <si>
    <t>არაფრაქციურებული ჰეპარინი</t>
  </si>
  <si>
    <t>დაბალმოლეკულური ჰეპარინი</t>
  </si>
  <si>
    <r>
      <t xml:space="preserve">          არავიტამინ K-ს ანტაგონისტური ორალური ანტიკოაგულანტის გადართვა ვიტამინი K-ს ანტაგონისტზე  ანუ </t>
    </r>
    <r>
      <rPr>
        <b/>
        <sz val="11"/>
        <color rgb="FFFF0000"/>
        <rFont val="Calibri"/>
        <family val="2"/>
        <scheme val="minor"/>
      </rPr>
      <t>NOAC -----&gt;VKA</t>
    </r>
  </si>
  <si>
    <t>ორჯერადად მისაღები NOAC-იდან, ერთჯერადად მისაღებ NOAC-ზე გადასვლა</t>
  </si>
  <si>
    <t>ერთჯერადად მისაღები NOAC-იდან, ოჯერადად მისაღებ NOAC-ზე გადასვლა</t>
  </si>
  <si>
    <t>გაგრძელდეს NOAC-ის მიღება ჩვეული დოზით (დოზა ნახევრდება ედოქსაბანის შემთხვევაში) და დაამატეთ VKA (დატვირთვის დოზა, მხოლოდ ფენპროკუმონის შემთხვევაში)</t>
  </si>
  <si>
    <t xml:space="preserve">ასპირინიდან NOAC-ზე გადასვლა </t>
  </si>
  <si>
    <t>კლოპიდოგრელიდან NOAC-ზე გადსვლა</t>
  </si>
  <si>
    <t>გადაიმეორეთ INR კომბინირებული თერაპიის დაწყებიდან 3-5 დღეში, NOAC-ის მორიგი დოზის მიღებამდე</t>
  </si>
  <si>
    <t>თუ INR</t>
  </si>
  <si>
    <r>
      <t xml:space="preserve">          არავიტამინ K-ს ანტაგონისტური ორალური ანტიკოაგულანტის გადართვა პარენტერალურ ჰეპარინზე ანუ </t>
    </r>
    <r>
      <rPr>
        <b/>
        <sz val="11"/>
        <color rgb="FFFF0000"/>
        <rFont val="Calibri"/>
        <family val="2"/>
        <scheme val="minor"/>
      </rPr>
      <t>NOAC -----&gt;LMWH ან UFH</t>
    </r>
  </si>
  <si>
    <t>NOAC-ის მიღების ჯერადობა</t>
  </si>
  <si>
    <r>
      <t xml:space="preserve">         პარენტერალური ჰეპარინიდან არავიტამინ K-ს ანტაგონისტურ ორალურ ანტიკოაგულანტზე გადართვა ანუ </t>
    </r>
    <r>
      <rPr>
        <b/>
        <sz val="11"/>
        <color rgb="FFFF0000"/>
        <rFont val="Calibri"/>
        <family val="2"/>
        <scheme val="minor"/>
      </rPr>
      <t>LMWH ან UFH-----&gt;NOAC</t>
    </r>
  </si>
  <si>
    <t>პარენტერალური ჰეპარინის ტიპი</t>
  </si>
  <si>
    <r>
      <t xml:space="preserve">         არავიტამინ K-ს ანტაგონისტური ორალური ანტიკოაგულანტის ალტერნატიულზე გადართვა ანუ  </t>
    </r>
    <r>
      <rPr>
        <b/>
        <sz val="11"/>
        <color rgb="FFFF0000"/>
        <rFont val="Calibri"/>
        <family val="2"/>
        <scheme val="minor"/>
      </rPr>
      <t>NOAC-----&gt;NOAC</t>
    </r>
  </si>
  <si>
    <t>ალტერნაცია</t>
  </si>
  <si>
    <r>
      <t xml:space="preserve">         ასპირინიდან ანდა კლოპიდოგრელიდან არავიტამინ K-ს ანტაგონისტურ ორალურ ანტიკოაგულანტზე გადართვა ანუ  </t>
    </r>
    <r>
      <rPr>
        <b/>
        <sz val="11"/>
        <color rgb="FFFF0000"/>
        <rFont val="Calibri"/>
        <family val="2"/>
        <scheme val="minor"/>
      </rPr>
      <t>APA-----&gt;NOAC</t>
    </r>
  </si>
  <si>
    <t>სვიჩინგის ტიპი</t>
  </si>
  <si>
    <t>Prof. Kakhaber Chelidze, M.D., Ph.D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</si>
</sst>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vertAlign val="subscript"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0"/>
      <color theme="0" tint="-0.249977111117893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 vertical="center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8" fillId="2" borderId="0" xfId="0" applyFont="1" applyFill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1" fillId="4" borderId="0" xfId="0" applyFont="1" applyFill="1"/>
    <xf numFmtId="0" fontId="0" fillId="4" borderId="0" xfId="0" applyFill="1"/>
    <xf numFmtId="0" fontId="17" fillId="2" borderId="0" xfId="0" applyFont="1" applyFill="1"/>
    <xf numFmtId="0" fontId="19" fillId="2" borderId="0" xfId="0" applyFont="1" applyFill="1"/>
    <xf numFmtId="0" fontId="18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15" fillId="5" borderId="0" xfId="0" applyFont="1" applyFill="1"/>
    <xf numFmtId="0" fontId="11" fillId="4" borderId="0" xfId="0" applyFont="1" applyFill="1"/>
    <xf numFmtId="0" fontId="24" fillId="2" borderId="0" xfId="0" applyFont="1" applyFill="1"/>
    <xf numFmtId="0" fontId="25" fillId="2" borderId="0" xfId="0" applyFont="1" applyFill="1"/>
    <xf numFmtId="0" fontId="0" fillId="2" borderId="0" xfId="0" applyFill="1" applyAlignment="1">
      <alignment vertical="center"/>
    </xf>
    <xf numFmtId="0" fontId="24" fillId="2" borderId="0" xfId="0" applyFont="1" applyFill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6" fillId="2" borderId="0" xfId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7" fillId="4" borderId="0" xfId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7" fillId="4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</cellXfs>
  <cellStyles count="2">
    <cellStyle name="Hyperlink" xfId="1" builtinId="8"/>
    <cellStyle name="Normal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K$1" lockText="1" noThreeD="1"/>
</file>

<file path=xl/ctrlProps/ctrlProp10.xml><?xml version="1.0" encoding="utf-8"?>
<formControlPr xmlns="http://schemas.microsoft.com/office/spreadsheetml/2009/9/main" objectType="CheckBox" fmlaLink="$Q$40" lockText="1" noThreeD="1"/>
</file>

<file path=xl/ctrlProps/ctrlProp11.xml><?xml version="1.0" encoding="utf-8"?>
<formControlPr xmlns="http://schemas.microsoft.com/office/spreadsheetml/2009/9/main" objectType="CheckBox" fmlaLink="$Q$41" lockText="1" noThreeD="1"/>
</file>

<file path=xl/ctrlProps/ctrlProp12.xml><?xml version="1.0" encoding="utf-8"?>
<formControlPr xmlns="http://schemas.microsoft.com/office/spreadsheetml/2009/9/main" objectType="Drop" dropLines="20" dropStyle="combo" dx="31" fmlaLink="$J$54" fmlaRange="$K$51:$K$76" noThreeD="1" sel="1" val="0"/>
</file>

<file path=xl/ctrlProps/ctrlProp13.xml><?xml version="1.0" encoding="utf-8"?>
<formControlPr xmlns="http://schemas.microsoft.com/office/spreadsheetml/2009/9/main" objectType="CheckBox" fmlaLink="$K$82" lockText="1" noThreeD="1"/>
</file>

<file path=xl/ctrlProps/ctrlProp14.xml><?xml version="1.0" encoding="utf-8"?>
<formControlPr xmlns="http://schemas.microsoft.com/office/spreadsheetml/2009/9/main" objectType="CheckBox" fmlaLink="$L$82" lockText="1" noThreeD="1"/>
</file>

<file path=xl/ctrlProps/ctrlProp15.xml><?xml version="1.0" encoding="utf-8"?>
<formControlPr xmlns="http://schemas.microsoft.com/office/spreadsheetml/2009/9/main" objectType="CheckBox" fmlaLink="$K$83" lockText="1" noThreeD="1"/>
</file>

<file path=xl/ctrlProps/ctrlProp16.xml><?xml version="1.0" encoding="utf-8"?>
<formControlPr xmlns="http://schemas.microsoft.com/office/spreadsheetml/2009/9/main" objectType="CheckBox" fmlaLink="$L$83" lockText="1" noThreeD="1"/>
</file>

<file path=xl/ctrlProps/ctrlProp17.xml><?xml version="1.0" encoding="utf-8"?>
<formControlPr xmlns="http://schemas.microsoft.com/office/spreadsheetml/2009/9/main" objectType="CheckBox" fmlaLink="$K$84" lockText="1" noThreeD="1"/>
</file>

<file path=xl/ctrlProps/ctrlProp18.xml><?xml version="1.0" encoding="utf-8"?>
<formControlPr xmlns="http://schemas.microsoft.com/office/spreadsheetml/2009/9/main" objectType="CheckBox" fmlaLink="$L$84" lockText="1" noThreeD="1"/>
</file>

<file path=xl/ctrlProps/ctrlProp19.xml><?xml version="1.0" encoding="utf-8"?>
<formControlPr xmlns="http://schemas.microsoft.com/office/spreadsheetml/2009/9/main" objectType="CheckBox" fmlaLink="$K$10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$L$105" lockText="1" noThreeD="1"/>
</file>

<file path=xl/ctrlProps/ctrlProp21.xml><?xml version="1.0" encoding="utf-8"?>
<formControlPr xmlns="http://schemas.microsoft.com/office/spreadsheetml/2009/9/main" objectType="CheckBox" fmlaLink="$K$106" lockText="1" noThreeD="1"/>
</file>

<file path=xl/ctrlProps/ctrlProp22.xml><?xml version="1.0" encoding="utf-8"?>
<formControlPr xmlns="http://schemas.microsoft.com/office/spreadsheetml/2009/9/main" objectType="CheckBox" fmlaLink="$L$106" lockText="1" noThreeD="1"/>
</file>

<file path=xl/ctrlProps/ctrlProp23.xml><?xml version="1.0" encoding="utf-8"?>
<formControlPr xmlns="http://schemas.microsoft.com/office/spreadsheetml/2009/9/main" objectType="CheckBox" fmlaLink="$K$107" lockText="1" noThreeD="1"/>
</file>

<file path=xl/ctrlProps/ctrlProp24.xml><?xml version="1.0" encoding="utf-8"?>
<formControlPr xmlns="http://schemas.microsoft.com/office/spreadsheetml/2009/9/main" objectType="CheckBox" fmlaLink="$L$107" lockText="1" noThreeD="1"/>
</file>

<file path=xl/ctrlProps/ctrlProp25.xml><?xml version="1.0" encoding="utf-8"?>
<formControlPr xmlns="http://schemas.microsoft.com/office/spreadsheetml/2009/9/main" objectType="CheckBox" fmlaLink="$K$108" lockText="1" noThreeD="1"/>
</file>

<file path=xl/ctrlProps/ctrlProp26.xml><?xml version="1.0" encoding="utf-8"?>
<formControlPr xmlns="http://schemas.microsoft.com/office/spreadsheetml/2009/9/main" objectType="CheckBox" fmlaLink="$L$108" lockText="1" noThreeD="1"/>
</file>

<file path=xl/ctrlProps/ctrlProp27.xml><?xml version="1.0" encoding="utf-8"?>
<formControlPr xmlns="http://schemas.microsoft.com/office/spreadsheetml/2009/9/main" objectType="Drop" dropLines="20" dropStyle="combo" dx="31" fmlaLink="$J$54" fmlaRange="$K$51:$K$76" noThreeD="1" sel="1" val="0"/>
</file>

<file path=xl/ctrlProps/ctrlProp28.xml><?xml version="1.0" encoding="utf-8"?>
<formControlPr xmlns="http://schemas.microsoft.com/office/spreadsheetml/2009/9/main" objectType="Drop" dropStyle="combo" dx="31" fmlaLink="$J$153" fmlaRange="$K$152:$K$156" noThreeD="1" sel="1" val="0"/>
</file>

<file path=xl/ctrlProps/ctrlProp29.xml><?xml version="1.0" encoding="utf-8"?>
<formControlPr xmlns="http://schemas.microsoft.com/office/spreadsheetml/2009/9/main" objectType="Drop" dropStyle="combo" dx="31" fmlaLink="$F$176" fmlaRange="$K$178:$K$183" noThreeD="1" sel="1" val="0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$K$4" lockText="1" noThreeD="1"/>
</file>

<file path=xl/ctrlProps/ctrlProp31.xml><?xml version="1.0" encoding="utf-8"?>
<formControlPr xmlns="http://schemas.microsoft.com/office/spreadsheetml/2009/9/main" objectType="CheckBox" fmlaLink="$K$6" lockText="1" noThreeD="1"/>
</file>

<file path=xl/ctrlProps/ctrlProp32.xml><?xml version="1.0" encoding="utf-8"?>
<formControlPr xmlns="http://schemas.microsoft.com/office/spreadsheetml/2009/9/main" objectType="CheckBox" fmlaLink="$K$8" lockText="1" noThreeD="1"/>
</file>

<file path=xl/ctrlProps/ctrlProp33.xml><?xml version="1.0" encoding="utf-8"?>
<formControlPr xmlns="http://schemas.microsoft.com/office/spreadsheetml/2009/9/main" objectType="CheckBox" fmlaLink="$K$10" lockText="1" noThreeD="1"/>
</file>

<file path=xl/ctrlProps/ctrlProp34.xml><?xml version="1.0" encoding="utf-8"?>
<formControlPr xmlns="http://schemas.microsoft.com/office/spreadsheetml/2009/9/main" objectType="CheckBox" fmlaLink="$K$12" lockText="1" noThreeD="1"/>
</file>

<file path=xl/ctrlProps/ctrlProp35.xml><?xml version="1.0" encoding="utf-8"?>
<formControlPr xmlns="http://schemas.microsoft.com/office/spreadsheetml/2009/9/main" objectType="CheckBox" fmlaLink="$K$14" lockText="1" noThreeD="1"/>
</file>

<file path=xl/ctrlProps/ctrlProp36.xml><?xml version="1.0" encoding="utf-8"?>
<formControlPr xmlns="http://schemas.microsoft.com/office/spreadsheetml/2009/9/main" objectType="CheckBox" fmlaLink="$K$18" lockText="1" noThreeD="1"/>
</file>

<file path=xl/ctrlProps/ctrlProp37.xml><?xml version="1.0" encoding="utf-8"?>
<formControlPr xmlns="http://schemas.microsoft.com/office/spreadsheetml/2009/9/main" objectType="CheckBox" fmlaLink="$K$20" lockText="1" noThreeD="1"/>
</file>

<file path=xl/ctrlProps/ctrlProp38.xml><?xml version="1.0" encoding="utf-8"?>
<formControlPr xmlns="http://schemas.microsoft.com/office/spreadsheetml/2009/9/main" objectType="CheckBox" fmlaLink="$K$22" lockText="1" noThreeD="1"/>
</file>

<file path=xl/ctrlProps/ctrlProp39.xml><?xml version="1.0" encoding="utf-8"?>
<formControlPr xmlns="http://schemas.microsoft.com/office/spreadsheetml/2009/9/main" objectType="CheckBox" fmlaLink="$K$24" lockText="1" noThreeD="1"/>
</file>

<file path=xl/ctrlProps/ctrlProp4.xml><?xml version="1.0" encoding="utf-8"?>
<formControlPr xmlns="http://schemas.microsoft.com/office/spreadsheetml/2009/9/main" objectType="Drop" dropLines="23" dropStyle="combo" dx="31" fmlaLink="$J$16" fmlaRange="$K$2:$K$33" noThreeD="1" sel="1" val="0"/>
</file>

<file path=xl/ctrlProps/ctrlProp40.xml><?xml version="1.0" encoding="utf-8"?>
<formControlPr xmlns="http://schemas.microsoft.com/office/spreadsheetml/2009/9/main" objectType="CheckBox" fmlaLink="$K$26" lockText="1" noThreeD="1"/>
</file>

<file path=xl/ctrlProps/ctrlProp41.xml><?xml version="1.0" encoding="utf-8"?>
<formControlPr xmlns="http://schemas.microsoft.com/office/spreadsheetml/2009/9/main" objectType="CheckBox" fmlaLink="$K$16" lockText="1" noThreeD="1"/>
</file>

<file path=xl/ctrlProps/ctrlProp42.xml><?xml version="1.0" encoding="utf-8"?>
<formControlPr xmlns="http://schemas.microsoft.com/office/spreadsheetml/2009/9/main" objectType="Drop" dropStyle="combo" dx="16" fmlaLink="$B$8" fmlaRange="$AB$1:$AB$5" noThreeD="1" sel="1" val="0"/>
</file>

<file path=xl/ctrlProps/ctrlProp43.xml><?xml version="1.0" encoding="utf-8"?>
<formControlPr xmlns="http://schemas.microsoft.com/office/spreadsheetml/2009/9/main" objectType="Drop" dropStyle="combo" dx="16" fmlaLink="$B$26" fmlaRange="$AB$7:$AB$9" noThreeD="1" sel="1" val="0"/>
</file>

<file path=xl/ctrlProps/ctrlProp44.xml><?xml version="1.0" encoding="utf-8"?>
<formControlPr xmlns="http://schemas.microsoft.com/office/spreadsheetml/2009/9/main" objectType="Drop" dropStyle="combo" dx="16" fmlaLink="$E$38" fmlaRange="$AB$10:$AB$12" noThreeD="1" sel="1" val="0"/>
</file>

<file path=xl/ctrlProps/ctrlProp45.xml><?xml version="1.0" encoding="utf-8"?>
<formControlPr xmlns="http://schemas.microsoft.com/office/spreadsheetml/2009/9/main" objectType="Drop" dropStyle="combo" dx="16" fmlaLink="$E$46" fmlaRange="$AB$13:$AB$15" noThreeD="1" sel="1" val="0"/>
</file>

<file path=xl/ctrlProps/ctrlProp46.xml><?xml version="1.0" encoding="utf-8"?>
<formControlPr xmlns="http://schemas.microsoft.com/office/spreadsheetml/2009/9/main" objectType="Drop" dropStyle="combo" dx="16" fmlaLink="$E$54" fmlaRange="$AB$16:$AB$18" noThreeD="1" sel="1" val="0"/>
</file>

<file path=xl/ctrlProps/ctrlProp47.xml><?xml version="1.0" encoding="utf-8"?>
<formControlPr xmlns="http://schemas.microsoft.com/office/spreadsheetml/2009/9/main" objectType="Drop" dropStyle="combo" dx="16" fmlaLink="$E$62" fmlaRange="$AB$19:$AB$21" noThreeD="1" sel="1" val="0"/>
</file>

<file path=xl/ctrlProps/ctrlProp5.xml><?xml version="1.0" encoding="utf-8"?>
<formControlPr xmlns="http://schemas.microsoft.com/office/spreadsheetml/2009/9/main" objectType="Drop" dropLines="23" dropStyle="combo" dx="31" fmlaLink="$J$20" fmlaRange="$K$34:$K$39" noThreeD="1" sel="1" val="0"/>
</file>

<file path=xl/ctrlProps/ctrlProp6.xml><?xml version="1.0" encoding="utf-8"?>
<formControlPr xmlns="http://schemas.microsoft.com/office/spreadsheetml/2009/9/main" objectType="Drop" dropLines="23" dropStyle="combo" dx="31" fmlaLink="$F$22" fmlaRange="$K$44:$K$45" noThreeD="1" sel="1" val="0"/>
</file>

<file path=xl/ctrlProps/ctrlProp7.xml><?xml version="1.0" encoding="utf-8"?>
<formControlPr xmlns="http://schemas.microsoft.com/office/spreadsheetml/2009/9/main" objectType="CheckBox" fmlaLink="$Q$37" lockText="1" noThreeD="1"/>
</file>

<file path=xl/ctrlProps/ctrlProp8.xml><?xml version="1.0" encoding="utf-8"?>
<formControlPr xmlns="http://schemas.microsoft.com/office/spreadsheetml/2009/9/main" objectType="CheckBox" fmlaLink="$Q$38" lockText="1" noThreeD="1"/>
</file>

<file path=xl/ctrlProps/ctrlProp9.xml><?xml version="1.0" encoding="utf-8"?>
<formControlPr xmlns="http://schemas.microsoft.com/office/spreadsheetml/2009/9/main" objectType="CheckBox" fmlaLink="$Q$3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hee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6351</xdr:colOff>
      <xdr:row>0</xdr:row>
      <xdr:rowOff>25401</xdr:rowOff>
    </xdr:from>
    <xdr:to>
      <xdr:col>14</xdr:col>
      <xdr:colOff>431801</xdr:colOff>
      <xdr:row>26</xdr:row>
      <xdr:rowOff>24037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1" y="25401"/>
          <a:ext cx="8959850" cy="4786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171534</xdr:rowOff>
    </xdr:from>
    <xdr:to>
      <xdr:col>5</xdr:col>
      <xdr:colOff>395099</xdr:colOff>
      <xdr:row>10</xdr:row>
      <xdr:rowOff>64247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850" y="171534"/>
          <a:ext cx="3246249" cy="17342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577850</xdr:colOff>
          <xdr:row>12</xdr:row>
          <xdr:rowOff>171450</xdr:rowOff>
        </xdr:from>
        <xdr:to>
          <xdr:col>2</xdr:col>
          <xdr:colOff>273050</xdr:colOff>
          <xdr:row>14</xdr:row>
          <xdr:rowOff>25400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კაცი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165100</xdr:rowOff>
        </xdr:from>
        <xdr:to>
          <xdr:col>4</xdr:col>
          <xdr:colOff>317500</xdr:colOff>
          <xdr:row>14</xdr:row>
          <xdr:rowOff>19050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ქალი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</xdr:row>
          <xdr:rowOff>25400</xdr:rowOff>
        </xdr:from>
        <xdr:to>
          <xdr:col>4</xdr:col>
          <xdr:colOff>406400</xdr:colOff>
          <xdr:row>2</xdr:row>
          <xdr:rowOff>63500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14</xdr:row>
          <xdr:rowOff>171450</xdr:rowOff>
        </xdr:from>
        <xdr:to>
          <xdr:col>9</xdr:col>
          <xdr:colOff>527050</xdr:colOff>
          <xdr:row>16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18</xdr:row>
          <xdr:rowOff>171450</xdr:rowOff>
        </xdr:from>
        <xdr:to>
          <xdr:col>9</xdr:col>
          <xdr:colOff>539750</xdr:colOff>
          <xdr:row>20</xdr:row>
          <xdr:rowOff>19050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21</xdr:row>
          <xdr:rowOff>6350</xdr:rowOff>
        </xdr:from>
        <xdr:to>
          <xdr:col>5</xdr:col>
          <xdr:colOff>577850</xdr:colOff>
          <xdr:row>22</xdr:row>
          <xdr:rowOff>6350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35</xdr:row>
          <xdr:rowOff>158750</xdr:rowOff>
        </xdr:from>
        <xdr:to>
          <xdr:col>9</xdr:col>
          <xdr:colOff>273050</xdr:colOff>
          <xdr:row>37</xdr:row>
          <xdr:rowOff>31750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158750</xdr:rowOff>
        </xdr:from>
        <xdr:to>
          <xdr:col>9</xdr:col>
          <xdr:colOff>279400</xdr:colOff>
          <xdr:row>39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165100</xdr:rowOff>
        </xdr:from>
        <xdr:to>
          <xdr:col>9</xdr:col>
          <xdr:colOff>279400</xdr:colOff>
          <xdr:row>41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158750</xdr:rowOff>
        </xdr:from>
        <xdr:to>
          <xdr:col>9</xdr:col>
          <xdr:colOff>279400</xdr:colOff>
          <xdr:row>43</xdr:row>
          <xdr:rowOff>31750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158750</xdr:rowOff>
        </xdr:from>
        <xdr:to>
          <xdr:col>9</xdr:col>
          <xdr:colOff>279400</xdr:colOff>
          <xdr:row>45</xdr:row>
          <xdr:rowOff>31750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158750</xdr:rowOff>
        </xdr:from>
        <xdr:to>
          <xdr:col>9</xdr:col>
          <xdr:colOff>571500</xdr:colOff>
          <xdr:row>54</xdr:row>
          <xdr:rowOff>25400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59</xdr:row>
          <xdr:rowOff>165100</xdr:rowOff>
        </xdr:from>
        <xdr:to>
          <xdr:col>8</xdr:col>
          <xdr:colOff>361950</xdr:colOff>
          <xdr:row>61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59</xdr:row>
          <xdr:rowOff>165100</xdr:rowOff>
        </xdr:from>
        <xdr:to>
          <xdr:col>9</xdr:col>
          <xdr:colOff>571500</xdr:colOff>
          <xdr:row>61</xdr:row>
          <xdr:rowOff>12700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61</xdr:row>
          <xdr:rowOff>171450</xdr:rowOff>
        </xdr:from>
        <xdr:to>
          <xdr:col>8</xdr:col>
          <xdr:colOff>368300</xdr:colOff>
          <xdr:row>63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61</xdr:row>
          <xdr:rowOff>171450</xdr:rowOff>
        </xdr:from>
        <xdr:to>
          <xdr:col>9</xdr:col>
          <xdr:colOff>584200</xdr:colOff>
          <xdr:row>63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77</xdr:row>
          <xdr:rowOff>177800</xdr:rowOff>
        </xdr:from>
        <xdr:to>
          <xdr:col>8</xdr:col>
          <xdr:colOff>323850</xdr:colOff>
          <xdr:row>79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349250</xdr:colOff>
          <xdr:row>77</xdr:row>
          <xdr:rowOff>177800</xdr:rowOff>
        </xdr:from>
        <xdr:to>
          <xdr:col>9</xdr:col>
          <xdr:colOff>539750</xdr:colOff>
          <xdr:row>79</xdr:row>
          <xdr:rowOff>25400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101</xdr:row>
          <xdr:rowOff>165100</xdr:rowOff>
        </xdr:from>
        <xdr:to>
          <xdr:col>8</xdr:col>
          <xdr:colOff>361950</xdr:colOff>
          <xdr:row>103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101</xdr:row>
          <xdr:rowOff>165100</xdr:rowOff>
        </xdr:from>
        <xdr:to>
          <xdr:col>9</xdr:col>
          <xdr:colOff>571500</xdr:colOff>
          <xdr:row>103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103</xdr:row>
          <xdr:rowOff>171450</xdr:rowOff>
        </xdr:from>
        <xdr:to>
          <xdr:col>8</xdr:col>
          <xdr:colOff>368300</xdr:colOff>
          <xdr:row>105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103</xdr:row>
          <xdr:rowOff>171450</xdr:rowOff>
        </xdr:from>
        <xdr:to>
          <xdr:col>9</xdr:col>
          <xdr:colOff>584200</xdr:colOff>
          <xdr:row>105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118</xdr:row>
          <xdr:rowOff>177800</xdr:rowOff>
        </xdr:from>
        <xdr:to>
          <xdr:col>8</xdr:col>
          <xdr:colOff>381000</xdr:colOff>
          <xdr:row>120</xdr:row>
          <xdr:rowOff>25400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406400</xdr:colOff>
          <xdr:row>118</xdr:row>
          <xdr:rowOff>177800</xdr:rowOff>
        </xdr:from>
        <xdr:to>
          <xdr:col>9</xdr:col>
          <xdr:colOff>596900</xdr:colOff>
          <xdr:row>120</xdr:row>
          <xdr:rowOff>25400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120</xdr:row>
          <xdr:rowOff>158750</xdr:rowOff>
        </xdr:from>
        <xdr:to>
          <xdr:col>8</xdr:col>
          <xdr:colOff>387350</xdr:colOff>
          <xdr:row>122</xdr:row>
          <xdr:rowOff>6350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412750</xdr:colOff>
          <xdr:row>120</xdr:row>
          <xdr:rowOff>158750</xdr:rowOff>
        </xdr:from>
        <xdr:to>
          <xdr:col>9</xdr:col>
          <xdr:colOff>603250</xdr:colOff>
          <xdr:row>122</xdr:row>
          <xdr:rowOff>6350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156</xdr:row>
          <xdr:rowOff>158750</xdr:rowOff>
        </xdr:from>
        <xdr:to>
          <xdr:col>9</xdr:col>
          <xdr:colOff>571500</xdr:colOff>
          <xdr:row>158</xdr:row>
          <xdr:rowOff>25400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152</xdr:row>
          <xdr:rowOff>0</xdr:rowOff>
        </xdr:from>
        <xdr:to>
          <xdr:col>9</xdr:col>
          <xdr:colOff>565150</xdr:colOff>
          <xdr:row>153</xdr:row>
          <xdr:rowOff>25400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174</xdr:row>
          <xdr:rowOff>177800</xdr:rowOff>
        </xdr:from>
        <xdr:to>
          <xdr:col>6</xdr:col>
          <xdr:colOff>6350</xdr:colOff>
          <xdr:row>176</xdr:row>
          <xdr:rowOff>12700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2</xdr:row>
          <xdr:rowOff>171450</xdr:rowOff>
        </xdr:from>
        <xdr:to>
          <xdr:col>9</xdr:col>
          <xdr:colOff>368300</xdr:colOff>
          <xdr:row>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4</xdr:row>
          <xdr:rowOff>171450</xdr:rowOff>
        </xdr:from>
        <xdr:to>
          <xdr:col>9</xdr:col>
          <xdr:colOff>368300</xdr:colOff>
          <xdr:row>6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6</xdr:row>
          <xdr:rowOff>171450</xdr:rowOff>
        </xdr:from>
        <xdr:to>
          <xdr:col>9</xdr:col>
          <xdr:colOff>368300</xdr:colOff>
          <xdr:row>8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8</xdr:row>
          <xdr:rowOff>171450</xdr:rowOff>
        </xdr:from>
        <xdr:to>
          <xdr:col>9</xdr:col>
          <xdr:colOff>368300</xdr:colOff>
          <xdr:row>10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10</xdr:row>
          <xdr:rowOff>171450</xdr:rowOff>
        </xdr:from>
        <xdr:to>
          <xdr:col>9</xdr:col>
          <xdr:colOff>368300</xdr:colOff>
          <xdr:row>12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12</xdr:row>
          <xdr:rowOff>171450</xdr:rowOff>
        </xdr:from>
        <xdr:to>
          <xdr:col>9</xdr:col>
          <xdr:colOff>368300</xdr:colOff>
          <xdr:row>14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17</xdr:row>
          <xdr:rowOff>0</xdr:rowOff>
        </xdr:from>
        <xdr:to>
          <xdr:col>9</xdr:col>
          <xdr:colOff>374650</xdr:colOff>
          <xdr:row>18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18</xdr:row>
          <xdr:rowOff>171450</xdr:rowOff>
        </xdr:from>
        <xdr:to>
          <xdr:col>9</xdr:col>
          <xdr:colOff>368300</xdr:colOff>
          <xdr:row>20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20</xdr:row>
          <xdr:rowOff>171450</xdr:rowOff>
        </xdr:from>
        <xdr:to>
          <xdr:col>9</xdr:col>
          <xdr:colOff>368300</xdr:colOff>
          <xdr:row>22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22</xdr:row>
          <xdr:rowOff>171450</xdr:rowOff>
        </xdr:from>
        <xdr:to>
          <xdr:col>9</xdr:col>
          <xdr:colOff>368300</xdr:colOff>
          <xdr:row>24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24</xdr:row>
          <xdr:rowOff>171450</xdr:rowOff>
        </xdr:from>
        <xdr:to>
          <xdr:col>9</xdr:col>
          <xdr:colOff>368300</xdr:colOff>
          <xdr:row>26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14</xdr:row>
          <xdr:rowOff>171450</xdr:rowOff>
        </xdr:from>
        <xdr:to>
          <xdr:col>9</xdr:col>
          <xdr:colOff>368300</xdr:colOff>
          <xdr:row>16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226030</xdr:colOff>
      <xdr:row>4</xdr:row>
      <xdr:rowOff>176893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749300"/>
          <a:ext cx="226030" cy="17689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7</xdr:row>
          <xdr:rowOff>0</xdr:rowOff>
        </xdr:from>
        <xdr:to>
          <xdr:col>2</xdr:col>
          <xdr:colOff>101600</xdr:colOff>
          <xdr:row>8</xdr:row>
          <xdr:rowOff>12700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15</xdr:row>
      <xdr:rowOff>0</xdr:rowOff>
    </xdr:from>
    <xdr:ext cx="226030" cy="176893"/>
    <xdr:pic>
      <xdr:nvPicPr>
        <xdr:cNvPr id="4" name="Рисунок 1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2774950"/>
          <a:ext cx="226030" cy="1768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546100</xdr:colOff>
          <xdr:row>25</xdr:row>
          <xdr:rowOff>0</xdr:rowOff>
        </xdr:from>
        <xdr:to>
          <xdr:col>2</xdr:col>
          <xdr:colOff>76200</xdr:colOff>
          <xdr:row>26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34</xdr:row>
      <xdr:rowOff>0</xdr:rowOff>
    </xdr:from>
    <xdr:ext cx="226030" cy="176893"/>
    <xdr:pic>
      <xdr:nvPicPr>
        <xdr:cNvPr id="6" name="Рисунок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6286500"/>
          <a:ext cx="226030" cy="1768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36</xdr:row>
          <xdr:rowOff>184150</xdr:rowOff>
        </xdr:from>
        <xdr:to>
          <xdr:col>5</xdr:col>
          <xdr:colOff>171450</xdr:colOff>
          <xdr:row>38</xdr:row>
          <xdr:rowOff>19050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42</xdr:row>
      <xdr:rowOff>0</xdr:rowOff>
    </xdr:from>
    <xdr:ext cx="226030" cy="176893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7759700"/>
          <a:ext cx="226030" cy="1768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450850</xdr:colOff>
          <xdr:row>45</xdr:row>
          <xdr:rowOff>0</xdr:rowOff>
        </xdr:from>
        <xdr:to>
          <xdr:col>7</xdr:col>
          <xdr:colOff>38100</xdr:colOff>
          <xdr:row>46</xdr:row>
          <xdr:rowOff>12700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50</xdr:row>
      <xdr:rowOff>0</xdr:rowOff>
    </xdr:from>
    <xdr:ext cx="226030" cy="176893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9239250"/>
          <a:ext cx="226030" cy="1768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52</xdr:row>
          <xdr:rowOff>184150</xdr:rowOff>
        </xdr:from>
        <xdr:to>
          <xdr:col>9</xdr:col>
          <xdr:colOff>254000</xdr:colOff>
          <xdr:row>54</xdr:row>
          <xdr:rowOff>12700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58</xdr:row>
      <xdr:rowOff>0</xdr:rowOff>
    </xdr:from>
    <xdr:ext cx="226030" cy="176893"/>
    <xdr:pic>
      <xdr:nvPicPr>
        <xdr:cNvPr id="12" name="Рисунок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836" t="22162" r="70487" b="72702"/>
        <a:stretch/>
      </xdr:blipFill>
      <xdr:spPr>
        <a:xfrm>
          <a:off x="0" y="10712450"/>
          <a:ext cx="226030" cy="1768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60</xdr:row>
          <xdr:rowOff>184150</xdr:rowOff>
        </xdr:from>
        <xdr:to>
          <xdr:col>6</xdr:col>
          <xdr:colOff>25400</xdr:colOff>
          <xdr:row>62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10" Type="http://schemas.openxmlformats.org/officeDocument/2006/relationships/ctrlProp" Target="../ctrlProps/ctrlProp36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C9FE-1540-47D8-8341-CBCD95C8B54C}">
  <dimension ref="A29:N29"/>
  <sheetViews>
    <sheetView tabSelected="1" zoomScale="80" zoomScaleNormal="80" workbookViewId="0">
      <selection activeCell="S20" sqref="S20"/>
    </sheetView>
  </sheetViews>
  <sheetFormatPr defaultRowHeight="14.5" x14ac:dyDescent="0.35"/>
  <cols>
    <col min="1" max="16384" width="8.7265625" style="1"/>
  </cols>
  <sheetData>
    <row r="29" spans="1:14" x14ac:dyDescent="0.35">
      <c r="A29" s="47" t="s">
        <v>254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</sheetData>
  <sheetProtection algorithmName="SHA-512" hashValue="iYIOM8bNNyx1UQAhZ+DqNIFu+GnOPPXkCfiNJldM82PoPGvPqfauLIUONEwj0FRcLxTmNrDCcQmkEG/Xf1qzcQ==" saltValue="ewCGAtA/zhjGmSeAncU35g==" spinCount="100000" sheet="1" objects="1" scenarios="1"/>
  <mergeCells count="1">
    <mergeCell ref="A29:N29"/>
  </mergeCells>
  <pageMargins left="0.7" right="0.7" top="0.75" bottom="0.75" header="0.3" footer="0.3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D7D2-50BC-4D3C-9B67-0066C7A12FCD}">
  <dimension ref="A1:S217"/>
  <sheetViews>
    <sheetView workbookViewId="0"/>
  </sheetViews>
  <sheetFormatPr defaultRowHeight="14.5" x14ac:dyDescent="0.35"/>
  <cols>
    <col min="1" max="10" width="8.7265625" style="1"/>
    <col min="11" max="19" width="8.7265625" style="8"/>
    <col min="20" max="16384" width="8.7265625" style="1"/>
  </cols>
  <sheetData>
    <row r="1" spans="1:11" x14ac:dyDescent="0.35">
      <c r="K1" s="7">
        <v>1</v>
      </c>
    </row>
    <row r="3" spans="1:11" x14ac:dyDescent="0.35">
      <c r="G3" s="1" t="s">
        <v>3</v>
      </c>
      <c r="H3" s="31"/>
      <c r="I3" s="31"/>
      <c r="K3" s="8" t="s">
        <v>27</v>
      </c>
    </row>
    <row r="4" spans="1:11" x14ac:dyDescent="0.35">
      <c r="G4" s="35" t="s">
        <v>0</v>
      </c>
      <c r="H4" s="35"/>
      <c r="I4" s="35"/>
      <c r="J4" s="35"/>
      <c r="K4" s="8" t="s">
        <v>28</v>
      </c>
    </row>
    <row r="5" spans="1:11" ht="14.5" customHeight="1" x14ac:dyDescent="0.35">
      <c r="G5" s="35"/>
      <c r="H5" s="35"/>
      <c r="I5" s="35"/>
      <c r="J5" s="35"/>
      <c r="K5" s="8" t="s">
        <v>29</v>
      </c>
    </row>
    <row r="6" spans="1:11" ht="14.5" customHeight="1" x14ac:dyDescent="0.35">
      <c r="G6" s="35"/>
      <c r="H6" s="35"/>
      <c r="I6" s="35"/>
      <c r="J6" s="35"/>
      <c r="K6" s="8" t="s">
        <v>30</v>
      </c>
    </row>
    <row r="7" spans="1:11" ht="14.5" customHeight="1" x14ac:dyDescent="0.35">
      <c r="G7" s="35"/>
      <c r="H7" s="35"/>
      <c r="I7" s="35"/>
      <c r="J7" s="35"/>
      <c r="K7" s="8" t="s">
        <v>31</v>
      </c>
    </row>
    <row r="8" spans="1:11" ht="14.5" customHeight="1" x14ac:dyDescent="0.35">
      <c r="G8" s="36" t="s">
        <v>108</v>
      </c>
      <c r="H8" s="36"/>
      <c r="I8" s="36"/>
      <c r="J8" s="36"/>
      <c r="K8" s="8" t="s">
        <v>32</v>
      </c>
    </row>
    <row r="9" spans="1:11" x14ac:dyDescent="0.35">
      <c r="G9" s="36"/>
      <c r="H9" s="36"/>
      <c r="I9" s="36"/>
      <c r="J9" s="36"/>
      <c r="K9" s="8" t="s">
        <v>33</v>
      </c>
    </row>
    <row r="10" spans="1:11" x14ac:dyDescent="0.35">
      <c r="G10" s="36"/>
      <c r="H10" s="36"/>
      <c r="I10" s="36"/>
      <c r="J10" s="36"/>
      <c r="K10" s="8" t="s">
        <v>4</v>
      </c>
    </row>
    <row r="11" spans="1:11" x14ac:dyDescent="0.35">
      <c r="K11" s="8" t="s">
        <v>34</v>
      </c>
    </row>
    <row r="12" spans="1:11" x14ac:dyDescent="0.35">
      <c r="A12" s="1" t="s">
        <v>1</v>
      </c>
      <c r="B12" s="31"/>
      <c r="C12" s="31"/>
      <c r="D12" s="31"/>
      <c r="E12" s="31"/>
      <c r="F12" s="31"/>
      <c r="G12" s="3" t="s">
        <v>2</v>
      </c>
      <c r="H12" s="4"/>
      <c r="K12" s="8" t="s">
        <v>5</v>
      </c>
    </row>
    <row r="13" spans="1:11" x14ac:dyDescent="0.35">
      <c r="K13" s="8" t="s">
        <v>6</v>
      </c>
    </row>
    <row r="14" spans="1:11" ht="14" customHeight="1" x14ac:dyDescent="0.35">
      <c r="K14" s="8" t="s">
        <v>7</v>
      </c>
    </row>
    <row r="15" spans="1:11" x14ac:dyDescent="0.35">
      <c r="K15" s="8" t="s">
        <v>8</v>
      </c>
    </row>
    <row r="16" spans="1:11" x14ac:dyDescent="0.35">
      <c r="A16" s="2" t="s">
        <v>26</v>
      </c>
      <c r="J16" s="10">
        <v>1</v>
      </c>
      <c r="K16" s="8" t="s">
        <v>9</v>
      </c>
    </row>
    <row r="17" spans="1:11" x14ac:dyDescent="0.35">
      <c r="K17" s="8" t="s">
        <v>10</v>
      </c>
    </row>
    <row r="18" spans="1:11" x14ac:dyDescent="0.35">
      <c r="A18" s="2" t="s">
        <v>35</v>
      </c>
      <c r="E18" s="32" t="str">
        <f>IF(AND(J16&gt;1,J16&lt;12),"დაბალი ანუ &lt;1%",IF(AND(J16&gt;11,J16&lt;22),"საშუალო ანუ 1-5%",IF(J16&gt;21,"მაღალი ანუ &gt;5%","")))</f>
        <v/>
      </c>
      <c r="F18" s="32"/>
      <c r="G18" s="32"/>
      <c r="K18" s="8" t="s">
        <v>11</v>
      </c>
    </row>
    <row r="19" spans="1:11" x14ac:dyDescent="0.35">
      <c r="G19" s="5"/>
      <c r="K19" s="8" t="s">
        <v>12</v>
      </c>
    </row>
    <row r="20" spans="1:11" x14ac:dyDescent="0.35">
      <c r="A20" s="2" t="s">
        <v>36</v>
      </c>
      <c r="J20" s="9">
        <v>1</v>
      </c>
      <c r="K20" s="8" t="s">
        <v>13</v>
      </c>
    </row>
    <row r="21" spans="1:11" x14ac:dyDescent="0.35">
      <c r="K21" s="8" t="s">
        <v>14</v>
      </c>
    </row>
    <row r="22" spans="1:11" x14ac:dyDescent="0.35">
      <c r="A22" s="2" t="s">
        <v>42</v>
      </c>
      <c r="F22" s="5">
        <v>1</v>
      </c>
      <c r="G22" s="5"/>
      <c r="K22" s="8" t="s">
        <v>15</v>
      </c>
    </row>
    <row r="23" spans="1:11" x14ac:dyDescent="0.35">
      <c r="K23" s="8" t="s">
        <v>16</v>
      </c>
    </row>
    <row r="24" spans="1:11" x14ac:dyDescent="0.35">
      <c r="A24" s="2" t="s">
        <v>46</v>
      </c>
      <c r="C24" s="2" t="str">
        <f>IF(AND(H12&gt;0,H12&lt;65,E18="დაბალი ანუ &lt;1%",J20=1,F22=1),"არ არის საჭირო დამატებითი გამოკვლევები",IF(AND(H12&gt;0,H12&lt;65,E18="საშუალო ანუ 1-5%",J20=1,F22=1),"არ არის საჭირო დამატებითი გამოკვლევები",IF(AND(H12&gt;45,H12&lt;65,E18="მაღალი ანუ &gt;5%",J20=1,F22=1),"ელექტროკარდიოგრამა",IF(AND(H12&gt;0,H12&lt;65,E18="დაბალი ანუ &lt;1%",J20&gt;1,F22=1),"არ არის საჭირო დამატებითი გამოკვლევები",IF(AND(H12&gt;64,E18="დაბალი ანუ &lt;1%",J20=1,F22=1),"არ არის საჭირო დამატებითი გამოკვლევები",IF(AND(H12&gt;64,E18="დაბალი ანუ &lt;1%",J20&gt;1,F22=1),"არ არის საჭირო დამატებითი გამოკვლევები",IF(AND(H12&gt;0,H12&lt;65,E18="საშუალო ანუ 1-5%",J20&gt;1,F22=1),"ელექტროკარდიოგრამა",IF(AND(H12&gt;64,E18="საშუალო ანუ 1-5%",J20=1,F22=1),"ელექტროკარდიოგრამა",IF(AND(H12&gt;64,E18="საშუალო ანუ 1-5%",J20&gt;1,F22=1),"ელექტროკარდიოგრამა",IF(AND(H12&gt;0,H12&lt;65,E18="მაღალი ანუ &gt;5%",J20&gt;1,F22=1),"ელექტროკარდიოგრამა",IF(AND(H12&gt;64,E18="მაღალი ანუ &gt;5%",J20=1,F22=1),"ელექტროკარდიოგრამა",IF(AND(H12&gt;64,E18="მაღალი ანუ &gt;5%",J20&gt;1,F22=1),"ელექტროკარდიოგრამა",IF(AND(H12&gt;0,E18="დაბალი ანუ &lt;1%",F22=2),"არ არის საჭირო დამატებითი გამოკვლევები",IF(AND(H12&gt;0,E18="საშუალო ანუ 1-5%",F22=2),"ელექტროკარდიოგრამა",IF(AND(H12&gt;0,E18="მაღალი ანუ &gt;5%",F22=2),"ელექტროკარდიოგრამა","")))))))))))))))</f>
        <v/>
      </c>
      <c r="K24" s="8" t="s">
        <v>17</v>
      </c>
    </row>
    <row r="25" spans="1:11" x14ac:dyDescent="0.35">
      <c r="C25" s="2" t="str">
        <f>IF(AND(H12&gt;45,H12&lt;65,E18="მაღალი ანუ &gt;5%",J20=1,F22=1),"კარდიოტროპონინი (cTn)",IF(AND(H12&gt;0,H12&lt;65,E18="საშუალო ანუ 1-5%",J20&gt;1,F22=1),"კარდიოტროპონინი (cTn)",IF(AND(H12&gt;64,E18="საშუალო ანუ 1-5%",J20=1,F22=1),"კარდიოტროპონინი (cTn)",IF(AND(H12&gt;64,E18="საშუალო ანუ 1-5%",J20&gt;1,F22=1),"კარდიოტროპონინი (cTn)",IF(AND(H12&gt;0,H12&lt;65,E18="მაღალი ანუ &gt;5%",J20&gt;1,F22=1),"კარდიოტროპონინი (cTn)",IF(AND(H12&gt;64,E18="მაღალი ანუ &gt;5%",J20=1,F22=1),"კარდიოტროპონინი (cTn)",IF(AND(H12&gt;64,E18="მაღალი ანუ &gt;5%",J20&gt;1,F22=1),"კარდიოტროპონინი (cTn)",IF(AND(H12&gt;0,E18="საშუალო ანუ 1-5%",F22=2),"კარდიოტროპონინი (cTn)",IF(AND(H12&gt;0,E18="მაღალი ანუ &gt;5%",F22=2),"კარდიოტროპონინი (cTn)","")))))))))</f>
        <v/>
      </c>
      <c r="K25" s="8" t="s">
        <v>18</v>
      </c>
    </row>
    <row r="26" spans="1:11" x14ac:dyDescent="0.35">
      <c r="C26" s="2" t="str">
        <f>IF(AND(H12&gt;45,H12&lt;65,E18="მაღალი ანუ &gt;5%",J20=1,F22=1),"ტვინის ნატრიურეზული პეპტიდი (BNP)",IF(AND(H12&gt;0,H12&lt;65,E18="საშუალო ანუ 1-5%",J20&gt;1,F22=1),"ტვინის ნატრიურეზული პეპტიდი (BNP)",IF(AND(H12&gt;64,E18="საშუალო ანუ 1-5%",J20=1,F22=1),"ტვინის ნატრიურეზული პეპტიდი (BNP)",IF(AND(H12&gt;64,E18="საშუალო ანუ 1-5%",J20&gt;1,F22=1),"ტვინის ნატრიურეზული პეპტიდი (BNP)",IF(AND(H12&gt;0,H12&lt;65,E18="მაღალი ანუ &gt;5%",J20&gt;1,F22=1),"ტვინის ნატრიურეზული პეპტიდი (BNP)",IF(AND(H12&gt;64,E18="მაღალი ანუ &gt;5%",J20=1,F22=1),"ტვინის ნატრიურეზული პეპტიდი (BNP)",IF(AND(H12&gt;64,E18="მაღალი ანუ &gt;5%",J20&gt;1,F22=1),"ტვინის ნატრიურეზული პეპტიდი (BNP)",IF(AND(H12&gt;0,E18="საშუალო ანუ 1-5%",F22=2),"ტვინის ნატრიურეზული პეპტიდი (BNP)",IF(AND(H12&gt;0,E18="მაღალი ანუ &gt;5%",F22=2),"ტვინის ნატრიურეზული პეპტიდი (BNP)","")))))))))</f>
        <v/>
      </c>
      <c r="K26" s="8" t="s">
        <v>19</v>
      </c>
    </row>
    <row r="27" spans="1:11" x14ac:dyDescent="0.35">
      <c r="C27" s="2" t="str">
        <f>IF(AND(H12&gt;45,H12&lt;65,E18="მაღალი ანუ &gt;5%",J20=1,F22=1),"ან N ტერმინალური პრო-BNP (NT-proBNP)",IF(AND(H12&gt;0,H12&lt;65,E18="საშუალო ანუ 1-5%",J20&gt;1,F22=1),"ან N ტერმინალური პრო-BNP (NT-proBNP)",IF(AND(H12&gt;64,E18="საშუალო ანუ 1-5%",J20=1,F22=1),"ან N ტერმინალური პრო-BNP (NT-proBNP)",IF(AND(H12&gt;64,E18="საშუალო ანუ 1-5%",J20&gt;1,F22=1),"ან N ტერმინალური პრო-BNP (NT-proBNP)",IF(AND(H12&gt;0,H12&lt;65,E18="მაღალი ანუ &gt;5%",J20&gt;1,F22=1),"ან N ტერმინალური პრო-BNP (NT-proBNP)",IF(AND(H12&gt;64,E18="მაღალი ანუ &gt;5%",J20=1,F22=1),"ან N ტერმინალური პრო-BNP (NT-proBNP)",IF(AND(H12&gt;64,E18="მაღალი ანუ &gt;5%",J20&gt;1,F22=1),"ან N ტერმინალური პრო-BNP (NT-proBNP)",IF(AND(H12&gt;0,E18="საშუალო ანუ 1-5%",F22=2),"ან N ტერმინალური პრო-BNP (NT-proBNP)",IF(AND(H12&gt;0,E18="მაღალი ანუ &gt;5%",F22=2),"ან N ტერმინალური პრო-BNP (NT-proBNP)","")))))))))</f>
        <v/>
      </c>
      <c r="K27" s="8" t="s">
        <v>20</v>
      </c>
    </row>
    <row r="28" spans="1:11" x14ac:dyDescent="0.35">
      <c r="C28" s="2" t="str">
        <f>IF(AND(H12&gt;0,H12&lt;65,E18="საშუალო ანუ 1-5%",J20&gt;1,F22=1),"ფუნქციური ტესტი Duke Activity Status Index (DASI)-ით",IF(AND(H12&gt;64,E18="საშუალო ანუ 1-5%",J20=1,F22=1),"ფუნქციური ტესტი Duke Activity Status Index (DASI)-ით",IF(AND(H12&gt;64,E18="საშუალო ანუ 1-5%",J20&gt;1,F22=1),"ფუნქციური ტესტი Duke Activity Status Index (DASI)-ით",IF(AND(H12&gt;0,H12&lt;65,E18="მაღალი ანუ &gt;5%",J20&gt;1,F22=1),"ფუნქციური ტესტი Duke Activity Status Index (DASI)-ით",IF(AND(H12&gt;64,E18="მაღალი ანუ &gt;5%",J20=1,F22=1),"ფუნქციური ტესტი Duke Activity Status Index (DASI)-ით",IF(AND(H12&gt;64,E18="მაღალი ანუ &gt;5%",J20&gt;1,F22=1),"ფუნქციური ტესტი Duke Activity Status Index (DASI)-ით",IF(AND(H12&gt;0,E18="საშუალო ანუ 1-5%",F22=2),"ფუნქციური ტესტი Duke Activity Status Index (DASI)-ით",IF(AND(H12&gt;0,E18="მაღალი ანუ &gt;5%",F22=2),"ფუნქციური ტესტი Duke Activity Status Index (DASI)-ით",""))))))))</f>
        <v/>
      </c>
      <c r="H28" s="33" t="str">
        <f>IF(C28="ფუნქციური ტესტი Duke Activity Status Index (DASI)-ით","→DASI","")</f>
        <v/>
      </c>
      <c r="I28" s="33"/>
      <c r="K28" s="8" t="s">
        <v>21</v>
      </c>
    </row>
    <row r="29" spans="1:11" x14ac:dyDescent="0.35">
      <c r="C29" s="2" t="str">
        <f>IF(C28="ფუნქციური ტესტი Duke Activity Status Index (DASI)-ით","* DASI ქულა=","")</f>
        <v/>
      </c>
      <c r="E29" s="12" t="str">
        <f>IF(C28="ფუნქციური ტესტი Duke Activity Status Index (DASI)-ით",DASI!J27,"")</f>
        <v/>
      </c>
      <c r="K29" s="8" t="s">
        <v>45</v>
      </c>
    </row>
    <row r="30" spans="1:11" x14ac:dyDescent="0.35">
      <c r="C30" s="2" t="str">
        <f>IF(C28="ფუნქციური ტესტი Duke Activity Status Index (DASI)-ით","* VO2 peak (mL/kg)=","")</f>
        <v/>
      </c>
      <c r="E30" s="12" t="str">
        <f>IF(C28="ფუნქციური ტესტი Duke Activity Status Index (DASI)-ით",DASI!C29,"")</f>
        <v/>
      </c>
      <c r="K30" s="8" t="s">
        <v>22</v>
      </c>
    </row>
    <row r="31" spans="1:11" x14ac:dyDescent="0.35">
      <c r="C31" s="2" t="str">
        <f>IF(C28="ფუნქციური ტესტი Duke Activity Status Index (DASI)-ით","* MET ქულა=","")</f>
        <v/>
      </c>
      <c r="E31" s="13" t="str">
        <f>IF(C28="ფუნქციური ტესტი Duke Activity Status Index (DASI)-ით",DASI!B30,"")</f>
        <v/>
      </c>
      <c r="K31" s="8" t="s">
        <v>23</v>
      </c>
    </row>
    <row r="32" spans="1:11" x14ac:dyDescent="0.35">
      <c r="C32" s="2" t="str">
        <f>IF(AND(H12&gt;0,E18="მაღალი ანუ &gt;5%",F22=2),"კარდიოლოგის კონსულტაცია","")</f>
        <v/>
      </c>
      <c r="K32" s="8" t="s">
        <v>24</v>
      </c>
    </row>
    <row r="33" spans="1:17" x14ac:dyDescent="0.35">
      <c r="K33" s="8" t="s">
        <v>25</v>
      </c>
    </row>
    <row r="34" spans="1:17" x14ac:dyDescent="0.35">
      <c r="A34" s="16" t="s">
        <v>63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17" x14ac:dyDescent="0.35">
      <c r="A35" s="2" t="s">
        <v>65</v>
      </c>
      <c r="J35" s="15">
        <f>IF(E18="მაღალი ანუ &gt;5%",1,0)</f>
        <v>0</v>
      </c>
      <c r="K35" s="8" t="s">
        <v>37</v>
      </c>
    </row>
    <row r="36" spans="1:17" ht="14.5" customHeight="1" x14ac:dyDescent="0.35">
      <c r="A36" s="34" t="s">
        <v>64</v>
      </c>
      <c r="B36" s="34"/>
      <c r="C36" s="34"/>
      <c r="D36" s="34"/>
      <c r="E36" s="34"/>
      <c r="F36" s="34"/>
      <c r="G36" s="34"/>
      <c r="H36" s="34"/>
      <c r="I36" s="34"/>
      <c r="J36" s="8"/>
      <c r="K36" s="8" t="s">
        <v>38</v>
      </c>
    </row>
    <row r="37" spans="1:17" x14ac:dyDescent="0.35">
      <c r="A37" s="34"/>
      <c r="B37" s="34"/>
      <c r="C37" s="34"/>
      <c r="D37" s="34"/>
      <c r="E37" s="34"/>
      <c r="F37" s="34"/>
      <c r="G37" s="34"/>
      <c r="H37" s="34"/>
      <c r="I37" s="34"/>
      <c r="J37" s="8">
        <f>IF(Q37,1,0)</f>
        <v>0</v>
      </c>
      <c r="K37" s="8" t="s">
        <v>39</v>
      </c>
      <c r="Q37" s="7" t="b">
        <v>0</v>
      </c>
    </row>
    <row r="38" spans="1:17" x14ac:dyDescent="0.35">
      <c r="A38" s="34"/>
      <c r="B38" s="34"/>
      <c r="C38" s="34"/>
      <c r="D38" s="34"/>
      <c r="E38" s="34"/>
      <c r="F38" s="34"/>
      <c r="G38" s="34"/>
      <c r="H38" s="34"/>
      <c r="I38" s="34"/>
      <c r="J38" s="8"/>
      <c r="K38" s="8" t="s">
        <v>40</v>
      </c>
      <c r="Q38" s="7" t="b">
        <v>0</v>
      </c>
    </row>
    <row r="39" spans="1:17" x14ac:dyDescent="0.35">
      <c r="A39" s="34" t="s">
        <v>66</v>
      </c>
      <c r="B39" s="34"/>
      <c r="C39" s="34"/>
      <c r="D39" s="34"/>
      <c r="E39" s="34"/>
      <c r="F39" s="34"/>
      <c r="G39" s="34"/>
      <c r="H39" s="34"/>
      <c r="I39" s="34"/>
      <c r="J39" s="8">
        <f>IF(Q38,1,0)</f>
        <v>0</v>
      </c>
      <c r="K39" s="8" t="s">
        <v>41</v>
      </c>
      <c r="Q39" s="7" t="b">
        <v>0</v>
      </c>
    </row>
    <row r="40" spans="1:17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8"/>
      <c r="Q40" s="7" t="b">
        <v>0</v>
      </c>
    </row>
    <row r="41" spans="1:17" x14ac:dyDescent="0.35">
      <c r="A41" s="2" t="s">
        <v>67</v>
      </c>
      <c r="J41" s="8">
        <f>IF(Q39,1,0)</f>
        <v>0</v>
      </c>
      <c r="Q41" s="7" t="b">
        <v>0</v>
      </c>
    </row>
    <row r="42" spans="1:17" x14ac:dyDescent="0.35">
      <c r="J42" s="8"/>
    </row>
    <row r="43" spans="1:17" x14ac:dyDescent="0.35">
      <c r="A43" s="2" t="s">
        <v>68</v>
      </c>
      <c r="J43" s="8">
        <f>IF(Q40,1,0)</f>
        <v>0</v>
      </c>
    </row>
    <row r="44" spans="1:17" x14ac:dyDescent="0.35">
      <c r="J44" s="8"/>
      <c r="K44" s="8" t="s">
        <v>44</v>
      </c>
    </row>
    <row r="45" spans="1:17" x14ac:dyDescent="0.35">
      <c r="A45" s="2" t="s">
        <v>109</v>
      </c>
      <c r="J45" s="8">
        <f>IF(Q41,1,0)</f>
        <v>0</v>
      </c>
      <c r="K45" s="8" t="s">
        <v>43</v>
      </c>
    </row>
    <row r="46" spans="1:17" x14ac:dyDescent="0.35">
      <c r="J46" s="8">
        <f>SUM(J35:J45)</f>
        <v>0</v>
      </c>
    </row>
    <row r="47" spans="1:17" x14ac:dyDescent="0.35">
      <c r="A47" s="39" t="s">
        <v>69</v>
      </c>
      <c r="B47" s="39"/>
      <c r="C47" s="6">
        <f>J46</f>
        <v>0</v>
      </c>
    </row>
    <row r="48" spans="1:17" ht="14.5" customHeight="1" x14ac:dyDescent="0.35">
      <c r="A48" s="40" t="s">
        <v>70</v>
      </c>
      <c r="B48" s="40"/>
      <c r="C48" s="40"/>
      <c r="D48" s="40"/>
      <c r="E48" s="40"/>
      <c r="F48" s="40"/>
      <c r="G48" s="40"/>
      <c r="H48" s="41" t="str">
        <f>IF(C47=0,"3.9% (2.8-5.4%)",IF(C47=1,"6.0% (4.9-7.4%)",IF(C47=2,"10.1% (8.1-12.6%)",IF(C47&gt;2,"15% (11.1-20.0%)",""))))</f>
        <v>3.9% (2.8-5.4%)</v>
      </c>
      <c r="I48" s="41"/>
      <c r="J48" s="41"/>
      <c r="K48" s="11" t="s">
        <v>47</v>
      </c>
    </row>
    <row r="49" spans="1:15" x14ac:dyDescent="0.35">
      <c r="A49" s="40"/>
      <c r="B49" s="40"/>
      <c r="C49" s="40"/>
      <c r="D49" s="40"/>
      <c r="E49" s="40"/>
      <c r="F49" s="40"/>
      <c r="G49" s="40"/>
      <c r="H49" s="41"/>
      <c r="I49" s="41"/>
      <c r="J49" s="41"/>
    </row>
    <row r="50" spans="1:15" x14ac:dyDescent="0.35">
      <c r="A50" s="40"/>
      <c r="B50" s="40"/>
      <c r="C50" s="40"/>
      <c r="D50" s="40"/>
      <c r="E50" s="40"/>
      <c r="F50" s="40"/>
      <c r="G50" s="40"/>
      <c r="H50" s="41"/>
      <c r="I50" s="41"/>
      <c r="J50" s="41"/>
    </row>
    <row r="52" spans="1:15" x14ac:dyDescent="0.35">
      <c r="A52" s="25" t="s">
        <v>104</v>
      </c>
      <c r="B52" s="25"/>
      <c r="C52" s="25"/>
      <c r="D52" s="25"/>
      <c r="E52" s="25"/>
      <c r="F52" s="25"/>
      <c r="G52" s="25"/>
      <c r="H52" s="25"/>
      <c r="I52" s="25"/>
      <c r="J52" s="25"/>
      <c r="K52" s="8" t="s">
        <v>71</v>
      </c>
    </row>
    <row r="53" spans="1:15" x14ac:dyDescent="0.35">
      <c r="J53" s="5"/>
      <c r="K53" s="8" t="s">
        <v>72</v>
      </c>
      <c r="O53" s="8" t="s">
        <v>78</v>
      </c>
    </row>
    <row r="54" spans="1:15" x14ac:dyDescent="0.35">
      <c r="A54" s="2" t="s">
        <v>105</v>
      </c>
      <c r="J54" s="9">
        <v>1</v>
      </c>
      <c r="K54" s="8" t="s">
        <v>73</v>
      </c>
    </row>
    <row r="55" spans="1:15" x14ac:dyDescent="0.35">
      <c r="K55" s="8" t="s">
        <v>4</v>
      </c>
      <c r="O55" s="8" t="s">
        <v>74</v>
      </c>
    </row>
    <row r="56" spans="1:15" x14ac:dyDescent="0.35">
      <c r="C56" s="37" t="str">
        <f>IF(J54=3,O53,IF(J54=5,O55,IF(J54=6,O56,IF(J54=12,O62,IF(J54=15,O65,IF(J54=19,O69,IF(J54=25,O75,IF(J54=26,O76,""))))))))</f>
        <v/>
      </c>
      <c r="D56" s="37"/>
      <c r="E56" s="37"/>
      <c r="F56" s="37"/>
      <c r="G56" s="37"/>
      <c r="H56" s="37"/>
      <c r="I56" s="37"/>
      <c r="J56" s="37"/>
      <c r="K56" s="8" t="s">
        <v>106</v>
      </c>
      <c r="O56" s="8" t="s">
        <v>75</v>
      </c>
    </row>
    <row r="57" spans="1:15" x14ac:dyDescent="0.35">
      <c r="C57" s="37"/>
      <c r="D57" s="37"/>
      <c r="E57" s="37"/>
      <c r="F57" s="37"/>
      <c r="G57" s="37"/>
      <c r="H57" s="37"/>
      <c r="I57" s="37"/>
      <c r="J57" s="37"/>
      <c r="K57" s="8" t="s">
        <v>76</v>
      </c>
    </row>
    <row r="58" spans="1:15" x14ac:dyDescent="0.35">
      <c r="A58" s="38" t="str">
        <f>IF(AND(J54&gt;1,J54&lt;6),K78,IF(AND(J54&gt;5,J54&lt;13),K79,IF(J54&gt;12,K80,"")))</f>
        <v/>
      </c>
      <c r="B58" s="38"/>
      <c r="C58" s="38"/>
      <c r="D58" s="38"/>
      <c r="E58" s="38"/>
      <c r="F58" s="38"/>
      <c r="G58" s="38"/>
      <c r="H58" s="38"/>
      <c r="I58" s="38"/>
      <c r="J58" s="38"/>
      <c r="K58" s="8" t="s">
        <v>77</v>
      </c>
      <c r="O58" s="8" t="s">
        <v>79</v>
      </c>
    </row>
    <row r="59" spans="1:15" x14ac:dyDescent="0.3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8" t="s">
        <v>80</v>
      </c>
    </row>
    <row r="60" spans="1:15" x14ac:dyDescent="0.35">
      <c r="K60" s="8" t="s">
        <v>81</v>
      </c>
    </row>
    <row r="61" spans="1:15" x14ac:dyDescent="0.35">
      <c r="A61" s="2" t="s">
        <v>113</v>
      </c>
      <c r="K61" s="8" t="s">
        <v>82</v>
      </c>
    </row>
    <row r="62" spans="1:15" x14ac:dyDescent="0.35">
      <c r="K62" s="8" t="s">
        <v>83</v>
      </c>
      <c r="O62" s="8" t="s">
        <v>107</v>
      </c>
    </row>
    <row r="63" spans="1:15" x14ac:dyDescent="0.35">
      <c r="A63" s="18" t="s">
        <v>127</v>
      </c>
      <c r="B63" s="19"/>
      <c r="K63" s="8" t="s">
        <v>125</v>
      </c>
    </row>
    <row r="64" spans="1:15" x14ac:dyDescent="0.35">
      <c r="A64" s="20" t="s">
        <v>126</v>
      </c>
      <c r="B64" s="19"/>
      <c r="K64" s="8" t="s">
        <v>84</v>
      </c>
    </row>
    <row r="65" spans="1:15" x14ac:dyDescent="0.35">
      <c r="A65" s="20" t="s">
        <v>110</v>
      </c>
      <c r="B65" s="19"/>
      <c r="K65" s="8" t="s">
        <v>85</v>
      </c>
      <c r="O65" s="8" t="s">
        <v>86</v>
      </c>
    </row>
    <row r="66" spans="1:15" x14ac:dyDescent="0.35">
      <c r="A66" s="20" t="s">
        <v>111</v>
      </c>
      <c r="B66" s="19"/>
      <c r="K66" s="8" t="s">
        <v>87</v>
      </c>
    </row>
    <row r="67" spans="1:15" x14ac:dyDescent="0.35">
      <c r="A67" s="20" t="s">
        <v>110</v>
      </c>
      <c r="B67" s="19"/>
      <c r="K67" s="8" t="s">
        <v>88</v>
      </c>
    </row>
    <row r="68" spans="1:15" x14ac:dyDescent="0.35">
      <c r="A68" s="20" t="s">
        <v>117</v>
      </c>
      <c r="B68" s="19"/>
      <c r="K68" s="8" t="s">
        <v>89</v>
      </c>
    </row>
    <row r="69" spans="1:15" x14ac:dyDescent="0.35">
      <c r="A69" s="19"/>
      <c r="B69" s="20" t="s">
        <v>112</v>
      </c>
      <c r="K69" s="8" t="s">
        <v>90</v>
      </c>
      <c r="O69" s="8" t="s">
        <v>91</v>
      </c>
    </row>
    <row r="70" spans="1:15" x14ac:dyDescent="0.35">
      <c r="A70" s="19"/>
      <c r="B70" s="20" t="s">
        <v>114</v>
      </c>
      <c r="K70" s="8" t="s">
        <v>92</v>
      </c>
    </row>
    <row r="71" spans="1:15" x14ac:dyDescent="0.35">
      <c r="A71" s="19"/>
      <c r="B71" s="20" t="s">
        <v>115</v>
      </c>
      <c r="K71" s="8" t="s">
        <v>93</v>
      </c>
    </row>
    <row r="72" spans="1:15" x14ac:dyDescent="0.35">
      <c r="A72" s="19"/>
      <c r="B72" s="20" t="s">
        <v>116</v>
      </c>
      <c r="K72" s="8" t="s">
        <v>94</v>
      </c>
    </row>
    <row r="73" spans="1:15" x14ac:dyDescent="0.35">
      <c r="A73" s="19"/>
      <c r="B73" s="20" t="s">
        <v>118</v>
      </c>
      <c r="K73" s="8" t="s">
        <v>95</v>
      </c>
    </row>
    <row r="74" spans="1:15" x14ac:dyDescent="0.35">
      <c r="A74" s="19"/>
      <c r="B74" s="20" t="s">
        <v>119</v>
      </c>
      <c r="K74" s="8" t="s">
        <v>96</v>
      </c>
    </row>
    <row r="75" spans="1:15" x14ac:dyDescent="0.35">
      <c r="A75" s="19"/>
      <c r="B75" s="20" t="s">
        <v>120</v>
      </c>
      <c r="K75" s="8" t="s">
        <v>97</v>
      </c>
      <c r="O75" s="8" t="s">
        <v>98</v>
      </c>
    </row>
    <row r="76" spans="1:15" x14ac:dyDescent="0.35">
      <c r="A76" s="19"/>
      <c r="B76" s="20" t="s">
        <v>121</v>
      </c>
      <c r="K76" s="8" t="s">
        <v>99</v>
      </c>
      <c r="O76" s="8" t="s">
        <v>100</v>
      </c>
    </row>
    <row r="77" spans="1:15" x14ac:dyDescent="0.35">
      <c r="A77" s="19"/>
      <c r="B77" s="20" t="s">
        <v>122</v>
      </c>
    </row>
    <row r="78" spans="1:15" x14ac:dyDescent="0.35">
      <c r="A78" s="19"/>
      <c r="B78" s="19"/>
      <c r="K78" s="8" t="s">
        <v>101</v>
      </c>
    </row>
    <row r="79" spans="1:15" x14ac:dyDescent="0.35">
      <c r="A79" s="20" t="s">
        <v>128</v>
      </c>
      <c r="B79" s="20"/>
      <c r="C79" s="2"/>
      <c r="D79" s="2"/>
      <c r="E79" s="2"/>
      <c r="F79" s="2"/>
      <c r="G79" s="2"/>
      <c r="K79" s="8" t="s">
        <v>102</v>
      </c>
    </row>
    <row r="80" spans="1:15" x14ac:dyDescent="0.35">
      <c r="K80" s="8" t="s">
        <v>103</v>
      </c>
    </row>
    <row r="81" spans="1:12" x14ac:dyDescent="0.35">
      <c r="A81" s="26" t="s">
        <v>123</v>
      </c>
      <c r="B81" s="17"/>
    </row>
    <row r="82" spans="1:12" x14ac:dyDescent="0.35">
      <c r="K82" s="7" t="b">
        <v>0</v>
      </c>
      <c r="L82" s="7" t="b">
        <v>0</v>
      </c>
    </row>
    <row r="83" spans="1:12" x14ac:dyDescent="0.35">
      <c r="A83" s="2" t="str">
        <f>IF(AND(K82,L82=FALSE,J54&gt;1,J54&lt;13),K86,IF(AND(K82,L82=FALSE,K83=FALSE,L83,J54&gt;12),K87,IF(AND(K82,L82=FALSE,K83,L83=FALSE,K84,L84=FALSE,J54&gt;12),K93,IF(AND(K82,L82=FALSE,K83,L83=FALSE,K84=FALSE,L84,J54&gt;12),K103,""))))</f>
        <v/>
      </c>
      <c r="K83" s="7" t="b">
        <v>0</v>
      </c>
      <c r="L83" s="7" t="b">
        <v>0</v>
      </c>
    </row>
    <row r="84" spans="1:12" x14ac:dyDescent="0.35">
      <c r="A84" s="2" t="str">
        <f>IF(AND(K82,L82=FALSE,K83=FALSE,L83,J54&gt;12),K88,IF(AND(K82,L82=FALSE,K83,L83=FALSE,K84,L84=FALSE,J54&gt;12),K94,""))</f>
        <v/>
      </c>
      <c r="K84" s="7" t="b">
        <v>0</v>
      </c>
      <c r="L84" s="7" t="b">
        <v>0</v>
      </c>
    </row>
    <row r="85" spans="1:12" x14ac:dyDescent="0.35">
      <c r="A85" s="2" t="str">
        <f>IF(AND(K82,L82=FALSE,K83=FALSE,L83,J54&gt;12),K89,IF(AND(K82,L82=FALSE,K83,L83=FALSE,K84,L84=FALSE,J54&gt;12),K95,""))</f>
        <v/>
      </c>
    </row>
    <row r="86" spans="1:12" x14ac:dyDescent="0.35">
      <c r="A86" s="2" t="str">
        <f>IF(AND(K82,L82=FALSE,K83=FALSE,L83,J54&gt;12),K90,IF(AND(K82,L82=FALSE,K83,L83=FALSE,K84,L84=FALSE,J54&gt;12),K96,""))</f>
        <v/>
      </c>
      <c r="K86" s="8" t="s">
        <v>124</v>
      </c>
    </row>
    <row r="87" spans="1:12" x14ac:dyDescent="0.35">
      <c r="A87" s="2" t="str">
        <f>IF(AND(K82,L82=FALSE,K83=FALSE,L83,J54&gt;12),K91,IF(AND(K82,L82=FALSE,K83,L83=FALSE,K84,L84=FALSE,J54&gt;12),K97,""))</f>
        <v/>
      </c>
      <c r="K87" s="8" t="s">
        <v>129</v>
      </c>
    </row>
    <row r="88" spans="1:12" x14ac:dyDescent="0.35">
      <c r="A88" s="2" t="str">
        <f>IF(AND(K82,L82=FALSE,K83,L83=FALSE,K84,L84=FALSE,J54&gt;12),K98,"")</f>
        <v/>
      </c>
      <c r="K88" s="8" t="s">
        <v>130</v>
      </c>
    </row>
    <row r="89" spans="1:12" x14ac:dyDescent="0.35">
      <c r="A89" s="2" t="str">
        <f>IF(AND(K82,L82=FALSE,K83,L83=FALSE,K84,L84=FALSE,J54&gt;12),K99,"")</f>
        <v/>
      </c>
      <c r="K89" s="8" t="s">
        <v>131</v>
      </c>
    </row>
    <row r="90" spans="1:12" x14ac:dyDescent="0.35">
      <c r="A90" s="2" t="str">
        <f>IF(AND(K82,L82=FALSE,K83,L83=FALSE,K84,L84=FALSE,J54&gt;12),K100,"")</f>
        <v/>
      </c>
      <c r="K90" s="8" t="s">
        <v>132</v>
      </c>
    </row>
    <row r="91" spans="1:12" x14ac:dyDescent="0.35">
      <c r="A91" s="2" t="str">
        <f>IF(AND(K82,L82=FALSE,K83,L83=FALSE,K84,L84=FALSE,J54&gt;12),K102,"")</f>
        <v/>
      </c>
      <c r="K91" s="8" t="s">
        <v>133</v>
      </c>
    </row>
    <row r="93" spans="1:12" x14ac:dyDescent="0.35">
      <c r="K93" s="8" t="s">
        <v>134</v>
      </c>
    </row>
    <row r="94" spans="1:12" x14ac:dyDescent="0.35">
      <c r="K94" s="8" t="s">
        <v>138</v>
      </c>
    </row>
    <row r="95" spans="1:12" x14ac:dyDescent="0.35">
      <c r="K95" s="8" t="s">
        <v>135</v>
      </c>
    </row>
    <row r="96" spans="1:12" x14ac:dyDescent="0.35">
      <c r="K96" s="8" t="s">
        <v>136</v>
      </c>
    </row>
    <row r="97" spans="1:12" x14ac:dyDescent="0.35">
      <c r="K97" s="8" t="s">
        <v>139</v>
      </c>
    </row>
    <row r="98" spans="1:12" x14ac:dyDescent="0.35">
      <c r="K98" s="8" t="s">
        <v>140</v>
      </c>
    </row>
    <row r="99" spans="1:12" x14ac:dyDescent="0.35">
      <c r="K99" s="8" t="s">
        <v>137</v>
      </c>
    </row>
    <row r="100" spans="1:12" x14ac:dyDescent="0.35">
      <c r="K100" s="8" t="s">
        <v>110</v>
      </c>
    </row>
    <row r="101" spans="1:12" x14ac:dyDescent="0.35">
      <c r="A101" s="25" t="s">
        <v>182</v>
      </c>
      <c r="B101" s="25"/>
      <c r="C101" s="25"/>
      <c r="D101" s="25"/>
      <c r="E101" s="25"/>
      <c r="F101" s="25"/>
      <c r="G101" s="25"/>
      <c r="H101" s="25"/>
      <c r="I101" s="25"/>
      <c r="J101" s="25"/>
    </row>
    <row r="102" spans="1:12" x14ac:dyDescent="0.35">
      <c r="K102" s="8" t="s">
        <v>141</v>
      </c>
    </row>
    <row r="103" spans="1:12" x14ac:dyDescent="0.35">
      <c r="A103" s="2" t="s">
        <v>143</v>
      </c>
      <c r="K103" s="8" t="s">
        <v>142</v>
      </c>
    </row>
    <row r="105" spans="1:12" x14ac:dyDescent="0.35">
      <c r="A105" s="21" t="s">
        <v>152</v>
      </c>
      <c r="B105" s="14"/>
      <c r="K105" s="8" t="b">
        <v>0</v>
      </c>
      <c r="L105" s="8" t="b">
        <v>0</v>
      </c>
    </row>
    <row r="106" spans="1:12" x14ac:dyDescent="0.35">
      <c r="A106" s="22" t="s">
        <v>126</v>
      </c>
      <c r="B106" s="14"/>
      <c r="K106" s="8" t="b">
        <v>0</v>
      </c>
      <c r="L106" s="8" t="b">
        <v>0</v>
      </c>
    </row>
    <row r="107" spans="1:12" x14ac:dyDescent="0.35">
      <c r="A107" s="22" t="s">
        <v>110</v>
      </c>
      <c r="B107" s="14"/>
      <c r="K107" s="8" t="b">
        <v>0</v>
      </c>
      <c r="L107" s="8" t="b">
        <v>0</v>
      </c>
    </row>
    <row r="108" spans="1:12" x14ac:dyDescent="0.35">
      <c r="A108" s="22" t="s">
        <v>111</v>
      </c>
      <c r="B108" s="14"/>
      <c r="K108" s="8" t="b">
        <v>0</v>
      </c>
      <c r="L108" s="8" t="b">
        <v>0</v>
      </c>
    </row>
    <row r="109" spans="1:12" x14ac:dyDescent="0.35">
      <c r="A109" s="22" t="s">
        <v>110</v>
      </c>
      <c r="B109" s="14"/>
    </row>
    <row r="110" spans="1:12" x14ac:dyDescent="0.35">
      <c r="A110" s="22" t="s">
        <v>117</v>
      </c>
      <c r="B110" s="14"/>
      <c r="K110" s="8" t="s">
        <v>150</v>
      </c>
    </row>
    <row r="111" spans="1:12" x14ac:dyDescent="0.35">
      <c r="A111" s="14"/>
      <c r="B111" s="22" t="s">
        <v>112</v>
      </c>
      <c r="K111" s="8" t="s">
        <v>151</v>
      </c>
    </row>
    <row r="112" spans="1:12" x14ac:dyDescent="0.35">
      <c r="A112" s="14"/>
      <c r="B112" s="22" t="s">
        <v>114</v>
      </c>
      <c r="K112" s="8" t="s">
        <v>153</v>
      </c>
    </row>
    <row r="113" spans="1:11" x14ac:dyDescent="0.35">
      <c r="A113" s="14"/>
      <c r="B113" s="22" t="s">
        <v>115</v>
      </c>
      <c r="K113" s="8" t="s">
        <v>154</v>
      </c>
    </row>
    <row r="114" spans="1:11" x14ac:dyDescent="0.35">
      <c r="A114" s="14"/>
      <c r="B114" s="22" t="s">
        <v>116</v>
      </c>
      <c r="K114" s="8" t="s">
        <v>155</v>
      </c>
    </row>
    <row r="115" spans="1:11" x14ac:dyDescent="0.35">
      <c r="A115" s="14"/>
      <c r="B115" s="22" t="s">
        <v>118</v>
      </c>
    </row>
    <row r="116" spans="1:11" x14ac:dyDescent="0.35">
      <c r="A116" s="14"/>
      <c r="B116" s="22" t="s">
        <v>119</v>
      </c>
    </row>
    <row r="117" spans="1:11" x14ac:dyDescent="0.35">
      <c r="A117" s="14"/>
      <c r="B117" s="22" t="s">
        <v>120</v>
      </c>
    </row>
    <row r="118" spans="1:11" x14ac:dyDescent="0.35">
      <c r="A118" s="14"/>
      <c r="B118" s="22" t="s">
        <v>121</v>
      </c>
    </row>
    <row r="119" spans="1:11" x14ac:dyDescent="0.35">
      <c r="A119" s="14"/>
      <c r="B119" s="22" t="s">
        <v>122</v>
      </c>
    </row>
    <row r="120" spans="1:11" x14ac:dyDescent="0.35">
      <c r="A120" s="20" t="s">
        <v>144</v>
      </c>
    </row>
    <row r="121" spans="1:11" x14ac:dyDescent="0.35">
      <c r="A121" s="20"/>
    </row>
    <row r="122" spans="1:11" x14ac:dyDescent="0.35">
      <c r="A122" s="20" t="s">
        <v>145</v>
      </c>
    </row>
    <row r="123" spans="1:11" x14ac:dyDescent="0.35">
      <c r="A123" s="18" t="s">
        <v>156</v>
      </c>
      <c r="B123" s="23"/>
      <c r="C123" s="23"/>
      <c r="D123" s="23"/>
    </row>
    <row r="124" spans="1:11" x14ac:dyDescent="0.35">
      <c r="B124" s="20" t="s">
        <v>146</v>
      </c>
    </row>
    <row r="125" spans="1:11" x14ac:dyDescent="0.35">
      <c r="B125" s="20" t="s">
        <v>147</v>
      </c>
    </row>
    <row r="126" spans="1:11" x14ac:dyDescent="0.35">
      <c r="B126" s="20" t="s">
        <v>148</v>
      </c>
    </row>
    <row r="127" spans="1:11" x14ac:dyDescent="0.35">
      <c r="B127" s="20" t="s">
        <v>149</v>
      </c>
    </row>
    <row r="129" spans="1:2" x14ac:dyDescent="0.35">
      <c r="A129" s="26" t="s">
        <v>123</v>
      </c>
      <c r="B129" s="17"/>
    </row>
    <row r="131" spans="1:2" x14ac:dyDescent="0.35">
      <c r="A131" s="2" t="str">
        <f>IF(AND(J54&gt;1,J54&lt;13,K105,L105=FALSE),K110,IF(AND(J54&gt;12,K105,L105=FALSE,K106=FALSE,L106),K112,IF(AND(J54&gt;12,K105,L105=FALSE,K106,L106=FALSE,K107,L107=FALSE),K113,IF(AND(J54&gt;12,K105,L105=FALSE,K106,L106=FALSE,K107=FALSE,L107,K108,L108=FALSE),K113,""))))</f>
        <v/>
      </c>
    </row>
    <row r="132" spans="1:2" x14ac:dyDescent="0.35">
      <c r="A132" s="2" t="str">
        <f>IF(AND(J54&gt;1,J54&lt;13,K105,L105=FALSE),K111,IF(AND(J54&gt;12,K105,L105=FALSE,K106=FALSE,L106),K111,IF(AND(J54&gt;12,K105,L105=FALSE,K106,L106=FALSE,K107,L107=FALSE),K114,IF(AND(J54&gt;12,K105,L105=FALSE,K106,L106=FALSE,K107=FALSE,L107,K108,L108=FALSE),K114,""))))</f>
        <v/>
      </c>
    </row>
    <row r="151" spans="1:13" x14ac:dyDescent="0.35">
      <c r="A151" s="25" t="s">
        <v>183</v>
      </c>
      <c r="B151" s="25"/>
      <c r="C151" s="25"/>
      <c r="D151" s="25"/>
      <c r="E151" s="25"/>
      <c r="F151" s="25"/>
      <c r="G151" s="25"/>
      <c r="H151" s="25"/>
      <c r="I151" s="25"/>
      <c r="J151" s="25"/>
    </row>
    <row r="152" spans="1:13" x14ac:dyDescent="0.35">
      <c r="J152" s="9"/>
    </row>
    <row r="153" spans="1:13" x14ac:dyDescent="0.35">
      <c r="A153" s="2" t="s">
        <v>157</v>
      </c>
      <c r="J153" s="9">
        <v>1</v>
      </c>
      <c r="K153" s="8" t="s">
        <v>158</v>
      </c>
      <c r="M153" s="8">
        <v>2</v>
      </c>
    </row>
    <row r="154" spans="1:13" x14ac:dyDescent="0.35">
      <c r="K154" s="8" t="s">
        <v>159</v>
      </c>
      <c r="M154" s="8">
        <v>3</v>
      </c>
    </row>
    <row r="155" spans="1:13" x14ac:dyDescent="0.35">
      <c r="K155" s="8" t="s">
        <v>160</v>
      </c>
      <c r="M155" s="8">
        <v>4</v>
      </c>
    </row>
    <row r="156" spans="1:13" x14ac:dyDescent="0.35">
      <c r="A156" s="16" t="s">
        <v>104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8" t="s">
        <v>161</v>
      </c>
      <c r="M156" s="8">
        <v>5</v>
      </c>
    </row>
    <row r="157" spans="1:13" x14ac:dyDescent="0.35">
      <c r="J157" s="5"/>
    </row>
    <row r="158" spans="1:13" x14ac:dyDescent="0.35">
      <c r="A158" s="2" t="s">
        <v>105</v>
      </c>
      <c r="J158" s="9">
        <v>14</v>
      </c>
    </row>
    <row r="160" spans="1:13" x14ac:dyDescent="0.35">
      <c r="C160" s="37" t="str">
        <f>IF(J158=3,O157,IF(J158=5,O159,IF(J158=6,O160,IF(J158=12,O166,IF(J158=15,O169,IF(J158=19,O173,IF(J158=25,O179,IF(J158=26,O180,""))))))))</f>
        <v/>
      </c>
      <c r="D160" s="37"/>
      <c r="E160" s="37"/>
      <c r="F160" s="37"/>
      <c r="G160" s="37"/>
      <c r="H160" s="37"/>
      <c r="I160" s="37"/>
      <c r="J160" s="37"/>
      <c r="K160" s="8" t="s">
        <v>165</v>
      </c>
    </row>
    <row r="161" spans="1:11" x14ac:dyDescent="0.35">
      <c r="C161" s="37"/>
      <c r="D161" s="37"/>
      <c r="E161" s="37"/>
      <c r="F161" s="37"/>
      <c r="G161" s="37"/>
      <c r="H161" s="37"/>
      <c r="I161" s="37"/>
      <c r="J161" s="37"/>
      <c r="K161" s="8" t="s">
        <v>166</v>
      </c>
    </row>
    <row r="162" spans="1:11" x14ac:dyDescent="0.35">
      <c r="A162" s="38" t="str">
        <f>IF(AND(J54&gt;1,J54&lt;6),K78,IF(AND(J54&gt;5,J54&lt;13),K79,IF(J54&gt;12,K80,"")))</f>
        <v/>
      </c>
      <c r="B162" s="38"/>
      <c r="C162" s="38"/>
      <c r="D162" s="38"/>
      <c r="E162" s="38"/>
      <c r="F162" s="38"/>
      <c r="G162" s="38"/>
      <c r="H162" s="38"/>
      <c r="I162" s="38"/>
      <c r="J162" s="38"/>
      <c r="K162" s="8" t="s">
        <v>167</v>
      </c>
    </row>
    <row r="163" spans="1:11" x14ac:dyDescent="0.3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8" t="s">
        <v>168</v>
      </c>
    </row>
    <row r="164" spans="1:11" x14ac:dyDescent="0.35">
      <c r="K164" s="8" t="s">
        <v>169</v>
      </c>
    </row>
    <row r="165" spans="1:11" x14ac:dyDescent="0.35">
      <c r="A165" s="2" t="s">
        <v>162</v>
      </c>
      <c r="E165" s="2" t="str">
        <f>IF(AND(A162="სისხლდენის უმნიშვნელო რისკი",J153=2),K160,IF(AND(A162="სისხლდენის უმნიშვნელო რისკი",J153=3),K161,IF(AND(A162="სისხლდენის უმნიშვნელო რისკი",J153=4),K162,IF(AND(A162="სისხლდენის უმნიშვნელო რისკი",J153=5),K163,IF(AND(A162="სისხლდენის მცირე რისკი (იშვიათი ან კლინიკურად მცირე მნიშვნელობის სისხლდენა)",J153=2),K160,IF(AND(A162="სისხლდენის მცირე რისკი (იშვიათი ან კლინიკურად მცირე მნიშვნელობის სისხლდენა)",J153=3),K161,IF(AND(A162="სისხლდენის მცირე რისკი (იშვიათი ან კლინიკურად მცირე მნიშვნელობის სისხლდენა)",J153=4),K162,IF(AND(A162="სისხლდენის მცირე რისკი (იშვიათი ან კლინიკურად მცირე მნიშვნელობის სისხლდენა)",J153=5),K163,IF(AND(A162="სისხლდენის მაღალი რისკი (ხშირი ან კლინიკურად მნიშვნელოვანი სისხლდენა)",J153=2),K160,IF(AND(A162="სისხლდენის მაღალი რისკი (ხშირი ან კლინიკურად მნიშვნელოვანი სისხლდენა)",J153=3),K161,IF(AND(A162="სისხლდენის მაღალი რისკი (ხშირი ან კლინიკურად მნიშვნელოვანი სისხლდენა)",J153=4),K162,IF(AND(A162="სისხლდენის მაღალი რისკი (ხშირი ან კლინიკურად მნიშვნელოვანი სისხლდენა)",J153=5),K163,""))))))))))))</f>
        <v/>
      </c>
      <c r="K165" s="8" t="s">
        <v>170</v>
      </c>
    </row>
    <row r="166" spans="1:11" x14ac:dyDescent="0.35">
      <c r="A166" s="2" t="s">
        <v>163</v>
      </c>
      <c r="E166" s="2" t="str">
        <f>IF(AND(A162="სისხლდენის უმნიშვნელო რისკი",J153=2),K160,IF(AND(A162="სისხლდენის უმნიშვნელო რისკი",J153=3),K161,IF(AND(A162="სისხლდენის უმნიშვნელო რისკი",J153=4),K162,IF(AND(A162="სისხლდენის უმნიშვნელო რისკი",J153=5),K163,IF(AND(A162="სისხლდენის მცირე რისკი (იშვიათი ან კლინიკურად მცირე მნიშვნელობის სისხლდენა)",J153=2),K160,IF(AND(A162="სისხლდენის მცირე რისკი (იშვიათი ან კლინიკურად მცირე მნიშვნელობის სისხლდენა)",J153=3),K161,IF(AND(A162="სისხლდენის მცირე რისკი (იშვიათი ან კლინიკურად მცირე მნიშვნელობის სისხლდენა)",J153=4),K162,IF(AND(A162="სისხლდენის მცირე რისკი (იშვიათი ან კლინიკურად მცირე მნიშვნელობის სისხლდენა)",J153=5),K163,IF(AND(A162="სისხლდენის მაღალი რისკი (ხშირი ან კლინიკურად მნიშვნელოვანი სისხლდენა)",J153=2),K167,IF(AND(A162="სისხლდენის მაღალი რისკი (ხშირი ან კლინიკურად მნიშვნელოვანი სისხლდენა)",J153=3),K169,IF(AND(A162="სისხლდენის მაღალი რისკი (ხშირი ან კლინიკურად მნიშვნელოვანი სისხლდენა)",J153=4),K171,IF(AND(A162="სისხლდენის მაღალი რისკი (ხშირი ან კლინიკურად მნიშვნელოვანი სისხლდენა)",J153=5),K173,""))))))))))))</f>
        <v/>
      </c>
      <c r="K166" s="8" t="s">
        <v>224</v>
      </c>
    </row>
    <row r="167" spans="1:11" x14ac:dyDescent="0.35">
      <c r="A167" s="2" t="s">
        <v>164</v>
      </c>
      <c r="E167" s="2" t="str">
        <f>IF(AND(A162="სისხლდენის უმნიშვნელო რისკი",J153=2),K164,IF(AND(A162="სისხლდენის უმნიშვნელო რისკი",J153=3),K165,IF(AND(A162="სისხლდენის უმნიშვნელო რისკი",J153=4),K162,IF(AND(A162="სისხლდენის უმნიშვნელო რისკი",J153=5),K163,IF(AND(A162="სისხლდენის მცირე რისკი (იშვიათი ან კლინიკურად მცირე მნიშვნელობის სისხლდენა)",J153=2),K167,IF(AND(A162="სისხლდენის მცირე რისკი (იშვიათი ან კლინიკურად მცირე მნიშვნელობის სისხლდენა)",J153=3),K169,IF(AND(A162="სისხლდენის მცირე რისკი (იშვიათი ან კლინიკურად მცირე მნიშვნელობის სისხლდენა)",J153=4),K171,IF(AND(A162="სისხლდენის მცირე რისკი (იშვიათი ან კლინიკურად მცირე მნიშვნელობის სისხლდენა)",J153=5),K173,IF(AND(A162="სისხლდენის მაღალი რისკი (ხშირი ან კლინიკურად მნიშვნელოვანი სისხლდენა)",J153=2),K167,IF(AND(A162="სისხლდენის მაღალი რისკი (ხშირი ან კლინიკურად მნიშვნელოვანი სისხლდენა)",J153=3),K169,IF(AND(A162="სისხლდენის მაღალი რისკი (ხშირი ან კლინიკურად მნიშვნელოვანი სისხლდენა)",J153=4),K171,IF(AND(A162="სისხლდენის მაღალი რისკი (ხშირი ან კლინიკურად მნიშვნელოვანი სისხლდენა)",J153=5),K173,""))))))))))))</f>
        <v/>
      </c>
      <c r="K167" s="8" t="s">
        <v>175</v>
      </c>
    </row>
    <row r="168" spans="1:11" x14ac:dyDescent="0.35">
      <c r="A168" s="2" t="s">
        <v>171</v>
      </c>
      <c r="E168" s="2" t="str">
        <f>IF(AND(A162="სისხლდენის უმნიშვნელო რისკი",J153&gt;1),K166,IF(AND(A162="სისხლდენის მცირე რისკი (იშვიათი ან კლინიკურად მცირე მნიშვნელობის სისხლდენა)",J153=2),K168,IF(AND(A162="სისხლდენის მცირე რისკი (იშვიათი ან კლინიკურად მცირე მნიშვნელობის სისხლდენა)",J153=3),K170,IF(AND(A162="სისხლდენის მცირე რისკი (იშვიათი ან კლინიკურად მცირე მნიშვნელობის სისხლდენა)",J153=4),K172,IF(AND(A162="სისხლდენის მცირე რისკი (იშვიათი ან კლინიკურად მცირე მნიშვნელობის სისხლდენა)",J153=5),K172,IF(AND(A162="სისხლდენის მაღალი რისკი (ხშირი ან კლინიკურად მნიშვნელოვანი სისხლდენა)",J153=2),K174,IF(AND(A162="სისხლდენის მაღალი რისკი (ხშირი ან კლინიკურად მნიშვნელოვანი სისხლდენა)",J153=3),K174,IF(AND(A162="სისხლდენის მაღალი რისკი (ხშირი ან კლინიკურად მნიშვნელოვანი სისხლდენა)",J153=4),K174,IF(AND(A162="სისხლდენის მაღალი რისკი (ხშირი ან კლინიკურად მნიშვნელოვანი სისხლდენა)",J153=5),K174,"")))))))))</f>
        <v/>
      </c>
      <c r="K168" s="8" t="s">
        <v>173</v>
      </c>
    </row>
    <row r="169" spans="1:11" x14ac:dyDescent="0.35">
      <c r="K169" s="8" t="s">
        <v>176</v>
      </c>
    </row>
    <row r="170" spans="1:11" x14ac:dyDescent="0.35">
      <c r="A170" s="24" t="str">
        <f>K175</f>
        <v>* ჰეპარინით ბრიჯინგი განიხილება მაღალი თრომბოემბოლიური რისკის შემთხვევებში:</v>
      </c>
      <c r="B170" s="2"/>
      <c r="C170" s="2"/>
      <c r="K170" s="8" t="s">
        <v>173</v>
      </c>
    </row>
    <row r="171" spans="1:11" x14ac:dyDescent="0.35">
      <c r="A171" s="24" t="str">
        <f>K176</f>
        <v>(i) &lt;3 თვის ფარგლებში ისნულტი, სისტემური თრომბოემბოლიზმი ან ღრმა ვენების თრომბოზი</v>
      </c>
      <c r="C171" s="2"/>
      <c r="K171" s="8" t="s">
        <v>177</v>
      </c>
    </row>
    <row r="172" spans="1:11" x14ac:dyDescent="0.35">
      <c r="A172" s="24" t="str">
        <f>K177</f>
        <v xml:space="preserve">(ii) ორალური ანტიკოაგულაციის შეწყვეტის ფონზე თრომბოემბოლიზმის ანამნეზი </v>
      </c>
      <c r="C172" s="2"/>
      <c r="K172" s="8" t="s">
        <v>174</v>
      </c>
    </row>
    <row r="173" spans="1:11" x14ac:dyDescent="0.35">
      <c r="K173" s="8" t="s">
        <v>178</v>
      </c>
    </row>
    <row r="174" spans="1:11" x14ac:dyDescent="0.35">
      <c r="A174" s="16" t="s">
        <v>212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8" t="s">
        <v>172</v>
      </c>
    </row>
    <row r="175" spans="1:11" x14ac:dyDescent="0.35">
      <c r="F175" s="5"/>
      <c r="K175" s="8" t="s">
        <v>180</v>
      </c>
    </row>
    <row r="176" spans="1:11" x14ac:dyDescent="0.35">
      <c r="A176" s="2" t="s">
        <v>184</v>
      </c>
      <c r="F176" s="5">
        <v>1</v>
      </c>
      <c r="G176" s="2" t="s">
        <v>185</v>
      </c>
      <c r="K176" s="8" t="s">
        <v>181</v>
      </c>
    </row>
    <row r="177" spans="1:11" x14ac:dyDescent="0.35">
      <c r="K177" s="8" t="s">
        <v>179</v>
      </c>
    </row>
    <row r="178" spans="1:11" x14ac:dyDescent="0.35">
      <c r="A178" s="2" t="str">
        <f>A162</f>
        <v/>
      </c>
    </row>
    <row r="179" spans="1:11" x14ac:dyDescent="0.35">
      <c r="K179" s="11" t="s">
        <v>186</v>
      </c>
    </row>
    <row r="180" spans="1:11" x14ac:dyDescent="0.35">
      <c r="A180" s="26" t="s">
        <v>123</v>
      </c>
      <c r="B180" s="17"/>
      <c r="K180" s="8" t="s">
        <v>187</v>
      </c>
    </row>
    <row r="181" spans="1:11" x14ac:dyDescent="0.35">
      <c r="K181" s="8" t="s">
        <v>188</v>
      </c>
    </row>
    <row r="182" spans="1:11" x14ac:dyDescent="0.35">
      <c r="A182" s="2" t="s">
        <v>191</v>
      </c>
      <c r="K182" s="8" t="s">
        <v>189</v>
      </c>
    </row>
    <row r="183" spans="1:11" x14ac:dyDescent="0.35">
      <c r="K183" s="8" t="s">
        <v>190</v>
      </c>
    </row>
    <row r="184" spans="1:11" x14ac:dyDescent="0.35">
      <c r="A184" s="2" t="s">
        <v>192</v>
      </c>
      <c r="B184" s="2" t="str">
        <f>IF(AND(F176=2,A178="სისხლდენის მცირე რისკი (იშვიათი ან კლინიკურად მცირე მნიშვნელობის სისხლდენა)"),K185,IF(AND(F176=3,A178="სისხლდენის მცირე რისკი (იშვიათი ან კლინიკურად მცირე მნიშვნელობის სისხლდენა)"),K186,IF(AND(F176=4,A178="სისხლდენის მცირე რისკი (იშვიათი ან კლინიკურად მცირე მნიშვნელობის სისხლდენა)"),K187,IF(AND(F176=5,A178="სისხლდენის მცირე რისკი (იშვიათი ან კლინიკურად მცირე მნიშვნელობის სისხლდენა)"),K190,IF(AND(F176=6,A178="სისხლდენის მცირე რისკი (იშვიათი ან კლინიკურად მცირე მნიშვნელობის სისხლდენა)"),K191,IF(AND(F176=2,A178="სისხლდენის მაღალი რისკი (ხშირი ან კლინიკურად მნიშვნელოვანი სისხლდენა)"),K187,IF(AND(F176=3,A178="სისხლდენის მაღალი რისკი (ხშირი ან კლინიკურად მნიშვნელოვანი სისხლდენა)"),K188,IF(AND(F176=4,A178="სისხლდენის მაღალი რისკი (ხშირი ან კლინიკურად მნიშვნელოვანი სისხლდენა)"),K189,IF(AND(F176=5,A178="სისხლდენის მაღალი რისკი (ხშირი ან კლინიკურად მნიშვნელოვანი სისხლდენა)"),K190,IF(AND(F176=6,A178="სისხლდენის მაღალი რისკი (ხშირი ან კლინიკურად მნიშვნელოვანი სისხლდენა)"),K191,""))))))))))</f>
        <v/>
      </c>
    </row>
    <row r="185" spans="1:11" x14ac:dyDescent="0.35">
      <c r="B185" s="2" t="str">
        <f>IF(AND(F176=2,A178="სისხლდენის მცირე რისკი (იშვიათი ან კლინიკურად მცირე მნიშვნელობის სისხლდენა)"),K193,IF(AND(F176=3,A178="სისხლდენის მცირე რისკი (იშვიათი ან კლინიკურად მცირე მნიშვნელობის სისხლდენა)"),K193,IF(AND(F176=4,A178="სისხლდენის მცირე რისკი (იშვიათი ან კლინიკურად მცირე მნიშვნელობის სისხლდენა)"),K193,IF(AND(F176=5,A178="სისხლდენის მცირე რისკი (იშვიათი ან კლინიკურად მცირე მნიშვნელობის სისხლდენა)"),K194,IF(AND(F176=6,A178="სისხლდენის მცირე რისკი (იშვიათი ან კლინიკურად მცირე მნიშვნელობის სისხლდენა)"),K196,IF(AND(F176=2,A178="სისხლდენის მაღალი რისკი (ხშირი ან კლინიკურად მნიშვნელოვანი სისხლდენა)"),K195,IF(AND(F176=3,A178="სისხლდენის მაღალი რისკი (ხშირი ან კლინიკურად მნიშვნელოვანი სისხლდენა)"),K195,IF(AND(F176=4,A178="სისხლდენის მაღალი რისკი (ხშირი ან კლინიკურად მნიშვნელოვანი სისხლდენა)"),K195,IF(AND(F176=5,A178="სისხლდენის მაღალი რისკი (ხშირი ან კლინიკურად მნიშვნელოვანი სისხლდენა)"),K195,IF(AND(F176=6,A178="სისხლდენის მაღალი რისკი (ხშირი ან კლინიკურად მნიშვნელოვანი სისხლდენა)"),K196,""))))))))))</f>
        <v/>
      </c>
      <c r="K185" s="8" t="s">
        <v>193</v>
      </c>
    </row>
    <row r="186" spans="1:11" x14ac:dyDescent="0.35">
      <c r="A186" s="2"/>
      <c r="B186" s="2" t="str">
        <f>IF(AND(F176=2,A178="სისხლდენის მცირე რისკი (იშვიათი ან კლინიკურად მცირე მნიშვნელობის სისხლდენა)"),K198,IF(AND(F176=3,A178="სისხლდენის მცირე რისკი (იშვიათი ან კლინიკურად მცირე მნიშვნელობის სისხლდენა)"),K198,IF(AND(F176=4,A178="სისხლდენის მცირე რისკი (იშვიათი ან კლინიკურად მცირე მნიშვნელობის სისხლდენა)"),K198,IF(AND(F176=5,A178="სისხლდენის მცირე რისკი (იშვიათი ან კლინიკურად მცირე მნიშვნელობის სისხლდენა)"),K199,IF(AND(F176=6,A178="სისხლდენის მცირე რისკი (იშვიათი ან კლინიკურად მცირე მნიშვნელობის სისხლდენა)"),K201,IF(AND(F176=2,A178="სისხლდენის მაღალი რისკი (ხშირი ან კლინიკურად მნიშვნელოვანი სისხლდენა)"),K200,IF(AND(F176=3,A178="სისხლდენის მაღალი რისკი (ხშირი ან კლინიკურად მნიშვნელოვანი სისხლდენა)"),K200,IF(AND(F176=4,A178="სისხლდენის მაღალი რისკი (ხშირი ან კლინიკურად მნიშვნელოვანი სისხლდენა)"),K200,IF(AND(F176=5,A178="სისხლდენის მაღალი რისკი (ხშირი ან კლინიკურად მნიშვნელოვანი სისხლდენა)"),K200,IF(AND(F176=6,A178="სისხლდენის მაღალი რისკი (ხშირი ან კლინიკურად მნიშვნელოვანი სისხლდენა)"),K201,""))))))))))</f>
        <v/>
      </c>
      <c r="K186" s="8" t="s">
        <v>194</v>
      </c>
    </row>
    <row r="187" spans="1:11" x14ac:dyDescent="0.35">
      <c r="B187" s="2" t="str">
        <f>IF(AND(F176=2,A178="სისხლდენის მცირე რისკი (იშვიათი ან კლინიკურად მცირე მნიშვნელობის სისხლდენა)"),K203,IF(AND(F176=3,A178="სისხლდენის მცირე რისკი (იშვიათი ან კლინიკურად მცირე მნიშვნელობის სისხლდენა)"),K203,IF(AND(F176=4,A178="სისხლდენის მცირე რისკი (იშვიათი ან კლინიკურად მცირე მნიშვნელობის სისხლდენა)"),K203,IF(AND(F176=5,A178="სისხლდენის მცირე რისკი (იშვიათი ან კლინიკურად მცირე მნიშვნელობის სისხლდენა)"),K204,IF(AND(F176=6,A178="სისხლდენის მცირე რისკი (იშვიათი ან კლინიკურად მცირე მნიშვნელობის სისხლდენა)"),K206,IF(AND(F176=2,A178="სისხლდენის მაღალი რისკი (ხშირი ან კლინიკურად მნიშვნელოვანი სისხლდენა)"),K205,IF(AND(F176=3,A178="სისხლდენის მაღალი რისკი (ხშირი ან კლინიკურად მნიშვნელოვანი სისხლდენა)"),K205,IF(AND(F176=4,A178="სისხლდენის მაღალი რისკი (ხშირი ან კლინიკურად მნიშვნელოვანი სისხლდენა)"),K205,IF(AND(F176=5,A178="სისხლდენის მაღალი რისკი (ხშირი ან კლინიკურად მნიშვნელოვანი სისხლდენა)"),K205,IF(AND(F176=6,A178="სისხლდენის მაღალი რისკი (ხშირი ან კლინიკურად მნიშვნელოვანი სისხლდენა)"),K206,""))))))))))</f>
        <v/>
      </c>
      <c r="K187" s="8" t="s">
        <v>195</v>
      </c>
    </row>
    <row r="188" spans="1:11" x14ac:dyDescent="0.35">
      <c r="K188" s="8" t="s">
        <v>196</v>
      </c>
    </row>
    <row r="189" spans="1:11" x14ac:dyDescent="0.35">
      <c r="A189" s="2" t="s">
        <v>223</v>
      </c>
      <c r="B189" s="2" t="str">
        <f>IF(AND(F176=2,A178="სისხლდენის მცირე რისკი (იშვიათი ან კლინიკურად მცირე მნიშვნელობის სისხლდენა)"),L208,IF(AND(F176=3,A178="სისხლდენის მცირე რისკი (იშვიათი ან კლინიკურად მცირე მნიშვნელობის სისხლდენა)"),L208,IF(AND(F176=4,A178="სისხლდენის მცირე რისკი (იშვიათი ან კლინიკურად მცირე მნიშვნელობის სისხლდენა)"),L208,IF(AND(F176=5,A178="სისხლდენის მცირე რისკი (იშვიათი ან კლინიკურად მცირე მნიშვნელობის სისხლდენა)"),K190,IF(AND(F176=6,A178="სისხლდენის მცირე რისკი (იშვიათი ან კლინიკურად მცირე მნიშვნელობის სისხლდენა)"),K191,IF(AND(F176=6,A178="სისხლდენის მცირე რისკი (იშვიათი ან კლინიკურად მცირე მნიშვნელობის სისხლდენა)"),K191,IF(AND(F176=2,A178="სისხლდენის მაღალი რისკი (ხშირი ან კლინიკურად მნიშვნელოვანი სისხლდენა)"),L214,IF(AND(F176=3,A178="სისხლდენის მაღალი რისკი (ხშირი ან კლინიკურად მნიშვნელოვანი სისხლდენა)"),L214,IF(AND(F176=4,A178="სისხლდენის მაღალი რისკი (ხშირი ან კლინიკურად მნიშვნელოვანი სისხლდენა)"),L214,IF(AND(F176=5,A178="სისხლდენის მაღალი რისკი (ხშირი ან კლინიკურად მნიშვნელოვანი სისხლდენა)"),K190,IF(AND(F176=6,A178="სისხლდენის მაღალი რისკი (ხშირი ან კლინიკურად მნიშვნელოვანი სისხლდენა)"),K191,"")))))))))))</f>
        <v/>
      </c>
      <c r="K189" s="8" t="s">
        <v>197</v>
      </c>
    </row>
    <row r="190" spans="1:11" x14ac:dyDescent="0.35">
      <c r="B190" s="2" t="str">
        <f>IF(AND(F176=2,A178="სისხლდენის მცირე რისკი (იშვიათი ან კლინიკურად მცირე მნიშვნელობის სისხლდენა)"),L209,IF(AND(F176=3,A178="სისხლდენის მცირე რისკი (იშვიათი ან კლინიკურად მცირე მნიშვნელობის სისხლდენა)"),L209,IF(AND(F176=4,A178="სისხლდენის მცირე რისკი (იშვიათი ან კლინიკურად მცირე მნიშვნელობის სისხლდენა)"),L209,IF(AND(F176=5,A178="სისხლდენის მცირე რისკი (იშვიათი ან კლინიკურად მცირე მნიშვნელობის სისხლდენა)"),L209,IF(AND(F176=2,A178="სისხლდენის მაღალი რისკი (ხშირი ან კლინიკურად მნიშვნელოვანი სისხლდენა)"),L215,IF(AND(F176=3,A178="სისხლდენის მაღალი რისკი (ხშირი ან კლინიკურად მნიშვნელოვანი სისხლდენა)"),L215,IF(AND(F176=4,A178="სისხლდენის მაღალი რისკი (ხშირი ან კლინიკურად მნიშვნელოვანი სისხლდენა)"),L215,IF(AND(F176=5,A178="სისხლდენის მაღალი რისკი (ხშირი ან კლინიკურად მნიშვნელოვანი სისხლდენა)"),L215,IF(AND(F176=6,A178="სისხლდენის მაღალი რისკი (ხშირი ან კლინიკურად მნიშვნელოვანი სისხლდენა)"),K196,"")))))))))</f>
        <v/>
      </c>
      <c r="K190" s="8" t="s">
        <v>211</v>
      </c>
    </row>
    <row r="191" spans="1:11" x14ac:dyDescent="0.35">
      <c r="B191" s="2" t="str">
        <f>IF(AND(F176=2,A178="სისხლდენის მცირე რისკი (იშვიათი ან კლინიკურად მცირე მნიშვნელობის სისხლდენა)"),L210,IF(AND(F176=3,A178="სისხლდენის მცირე რისკი (იშვიათი ან კლინიკურად მცირე მნიშვნელობის სისხლდენა)"),L210,IF(AND(F176=4,A178="სისხლდენის მცირე რისკი (იშვიათი ან კლინიკურად მცირე მნიშვნელობის სისხლდენა)"),L210,IF(AND(F176=5,A178="სისხლდენის მცირე რისკი (იშვიათი ან კლინიკურად მცირე მნიშვნელობის სისხლდენა)"),L210,IF(AND(F176=2,A178="სისხლდენის მაღალი რისკი (ხშირი ან კლინიკურად მნიშვნელოვანი სისხლდენა)"),L216,IF(AND(F176=3,A178="სისხლდენის მაღალი რისკი (ხშირი ან კლინიკურად მნიშვნელოვანი სისხლდენა)"),L216,IF(AND(F176=4,A178="სისხლდენის მაღალი რისკი (ხშირი ან კლინიკურად მნიშვნელოვანი სისხლდენა)"),L216,IF(AND(F176=5,A178="სისხლდენის მაღალი რისკი (ხშირი ან კლინიკურად მნიშვნელოვანი სისხლდენა)"),L216,IF(AND(F176=6,A178="სისხლდენის მაღალი რისკი (ხშირი ან კლინიკურად მნიშვნელოვანი სისხლდენა)"),K201,"")))))))))</f>
        <v/>
      </c>
      <c r="K191" s="8" t="s">
        <v>201</v>
      </c>
    </row>
    <row r="192" spans="1:11" x14ac:dyDescent="0.35">
      <c r="B192" s="2" t="str">
        <f>IF(AND(F176=2,A178="სისხლდენის მცირე რისკი (იშვიათი ან კლინიკურად მცირე მნიშვნელობის სისხლდენა)"),L211,IF(AND(F176=3,A178="სისხლდენის მცირე რისკი (იშვიათი ან კლინიკურად მცირე მნიშვნელობის სისხლდენა)"),L211,IF(AND(F176=4,A178="სისხლდენის მცირე რისკი (იშვიათი ან კლინიკურად მცირე მნიშვნელობის სისხლდენა)"),L211,IF(AND(F176=5,A178="სისხლდენის მცირე რისკი (იშვიათი ან კლინიკურად მცირე მნიშვნელობის სისხლდენა)"),L211,IF(AND(F176=2,A178="სისხლდენის მაღალი რისკი (ხშირი ან კლინიკურად მნიშვნელოვანი სისხლდენა)"),L217,IF(AND(F176=3,A178="სისხლდენის მაღალი რისკი (ხშირი ან კლინიკურად მნიშვნელოვანი სისხლდენა)"),L217,IF(AND(F176=4,A178="სისხლდენის მაღალი რისკი (ხშირი ან კლინიკურად მნიშვნელოვანი სისხლდენა)"),L217,IF(AND(F176=5,A178="სისხლდენის მაღალი რისკი (ხშირი ან კლინიკურად მნიშვნელოვანი სისხლდენა)"),L217,IF(AND(F176=6,A178="სისხლდენის მაღალი რისკი (ხშირი ან კლინიკურად მნიშვნელოვანი სისხლდენა)"),K206,"")))))))))</f>
        <v/>
      </c>
    </row>
    <row r="193" spans="11:12" x14ac:dyDescent="0.35">
      <c r="K193" s="8" t="s">
        <v>198</v>
      </c>
    </row>
    <row r="194" spans="11:12" x14ac:dyDescent="0.35">
      <c r="K194" s="8" t="s">
        <v>199</v>
      </c>
    </row>
    <row r="195" spans="11:12" x14ac:dyDescent="0.35">
      <c r="K195" s="8" t="s">
        <v>200</v>
      </c>
    </row>
    <row r="196" spans="11:12" x14ac:dyDescent="0.35">
      <c r="K196" s="8" t="s">
        <v>202</v>
      </c>
    </row>
    <row r="198" spans="11:12" x14ac:dyDescent="0.35">
      <c r="K198" s="8" t="s">
        <v>203</v>
      </c>
    </row>
    <row r="199" spans="11:12" x14ac:dyDescent="0.35">
      <c r="K199" s="8" t="s">
        <v>204</v>
      </c>
    </row>
    <row r="200" spans="11:12" x14ac:dyDescent="0.35">
      <c r="K200" s="8" t="s">
        <v>205</v>
      </c>
    </row>
    <row r="201" spans="11:12" x14ac:dyDescent="0.35">
      <c r="K201" s="8" t="s">
        <v>206</v>
      </c>
    </row>
    <row r="203" spans="11:12" x14ac:dyDescent="0.35">
      <c r="K203" s="8" t="s">
        <v>207</v>
      </c>
    </row>
    <row r="204" spans="11:12" x14ac:dyDescent="0.35">
      <c r="K204" s="8" t="s">
        <v>208</v>
      </c>
    </row>
    <row r="205" spans="11:12" x14ac:dyDescent="0.35">
      <c r="K205" s="8" t="s">
        <v>209</v>
      </c>
    </row>
    <row r="206" spans="11:12" x14ac:dyDescent="0.35">
      <c r="K206" s="8" t="s">
        <v>210</v>
      </c>
    </row>
    <row r="208" spans="11:12" x14ac:dyDescent="0.35">
      <c r="K208" s="8" t="s">
        <v>213</v>
      </c>
      <c r="L208" s="8" t="s">
        <v>214</v>
      </c>
    </row>
    <row r="209" spans="11:12" x14ac:dyDescent="0.35">
      <c r="K209" s="8" t="s">
        <v>187</v>
      </c>
      <c r="L209" s="8" t="s">
        <v>215</v>
      </c>
    </row>
    <row r="210" spans="11:12" x14ac:dyDescent="0.35">
      <c r="K210" s="8" t="s">
        <v>188</v>
      </c>
      <c r="L210" s="8" t="s">
        <v>216</v>
      </c>
    </row>
    <row r="211" spans="11:12" x14ac:dyDescent="0.35">
      <c r="L211" s="8" t="s">
        <v>217</v>
      </c>
    </row>
    <row r="212" spans="11:12" x14ac:dyDescent="0.35">
      <c r="L212" s="8" t="s">
        <v>218</v>
      </c>
    </row>
    <row r="214" spans="11:12" x14ac:dyDescent="0.35">
      <c r="K214" s="8" t="s">
        <v>213</v>
      </c>
      <c r="L214" s="8" t="s">
        <v>219</v>
      </c>
    </row>
    <row r="215" spans="11:12" x14ac:dyDescent="0.35">
      <c r="L215" s="8" t="s">
        <v>220</v>
      </c>
    </row>
    <row r="216" spans="11:12" x14ac:dyDescent="0.35">
      <c r="L216" s="8" t="s">
        <v>221</v>
      </c>
    </row>
    <row r="217" spans="11:12" x14ac:dyDescent="0.35">
      <c r="L217" s="8" t="s">
        <v>222</v>
      </c>
    </row>
  </sheetData>
  <sheetProtection algorithmName="SHA-512" hashValue="40+SW7qwUVTYPNslBWF/SbCF/grlK13R+Pi2tD56aMSMoqZHH2WNvt4V4VR/doT6t5vC8kB2lz63DZWNiH6ilQ==" saltValue="z1udcrFqNVi8nJx5r3Tt0A==" spinCount="100000" sheet="1" objects="1" scenarios="1"/>
  <mergeCells count="15">
    <mergeCell ref="C56:J57"/>
    <mergeCell ref="A58:J59"/>
    <mergeCell ref="C160:J161"/>
    <mergeCell ref="A162:J163"/>
    <mergeCell ref="A47:B47"/>
    <mergeCell ref="A48:G50"/>
    <mergeCell ref="H48:J50"/>
    <mergeCell ref="H3:I3"/>
    <mergeCell ref="E18:G18"/>
    <mergeCell ref="H28:I28"/>
    <mergeCell ref="A36:I38"/>
    <mergeCell ref="A39:I40"/>
    <mergeCell ref="G4:J7"/>
    <mergeCell ref="G8:J10"/>
    <mergeCell ref="B12:F12"/>
  </mergeCells>
  <conditionalFormatting sqref="E18:G18">
    <cfRule type="containsText" dxfId="25" priority="28" operator="containsText" text="მაღალი">
      <formula>NOT(ISERROR(SEARCH("მაღალი",E18)))</formula>
    </cfRule>
    <cfRule type="containsText" dxfId="24" priority="29" operator="containsText" text="საშუალო">
      <formula>NOT(ISERROR(SEARCH("საშუალო",E18)))</formula>
    </cfRule>
    <cfRule type="containsText" dxfId="23" priority="30" operator="containsText" text="დაბალი">
      <formula>NOT(ISERROR(SEARCH("დაბალი",E18)))</formula>
    </cfRule>
  </conditionalFormatting>
  <conditionalFormatting sqref="E31">
    <cfRule type="containsBlanks" dxfId="22" priority="23">
      <formula>LEN(TRIM(E31))=0</formula>
    </cfRule>
    <cfRule type="cellIs" dxfId="21" priority="24" operator="greaterThan">
      <formula>10</formula>
    </cfRule>
    <cfRule type="cellIs" dxfId="20" priority="25" operator="between">
      <formula>7</formula>
      <formula>10</formula>
    </cfRule>
    <cfRule type="cellIs" dxfId="19" priority="26" operator="between">
      <formula>4</formula>
      <formula>7</formula>
    </cfRule>
    <cfRule type="cellIs" dxfId="18" priority="27" operator="between">
      <formula>1</formula>
      <formula>4</formula>
    </cfRule>
  </conditionalFormatting>
  <conditionalFormatting sqref="C32">
    <cfRule type="containsText" dxfId="17" priority="22" operator="containsText" text="კარდიოლოგის კონსულტაცია">
      <formula>NOT(ISERROR(SEARCH("კარდიოლოგის კონსულტაცია",C32)))</formula>
    </cfRule>
  </conditionalFormatting>
  <conditionalFormatting sqref="A58:J59">
    <cfRule type="containsText" dxfId="16" priority="19" operator="containsText" text="უმნიშვნელო">
      <formula>NOT(ISERROR(SEARCH("უმნიშვნელო",A58)))</formula>
    </cfRule>
    <cfRule type="containsText" dxfId="15" priority="20" operator="containsText" text="მცირე">
      <formula>NOT(ISERROR(SEARCH("მცირე",A58)))</formula>
    </cfRule>
    <cfRule type="containsText" dxfId="14" priority="21" operator="containsText" text="მაღალი">
      <formula>NOT(ISERROR(SEARCH("მაღალი",A58)))</formula>
    </cfRule>
  </conditionalFormatting>
  <conditionalFormatting sqref="A63">
    <cfRule type="expression" dxfId="13" priority="17">
      <formula>$J54&gt;12</formula>
    </cfRule>
  </conditionalFormatting>
  <conditionalFormatting sqref="A64:B67">
    <cfRule type="expression" dxfId="12" priority="16">
      <formula>$J$54&gt;12+$K$83</formula>
    </cfRule>
  </conditionalFormatting>
  <conditionalFormatting sqref="A68:B77">
    <cfRule type="expression" dxfId="11" priority="15">
      <formula>$J$54&gt;12</formula>
    </cfRule>
  </conditionalFormatting>
  <conditionalFormatting sqref="A79">
    <cfRule type="expression" dxfId="10" priority="14">
      <formula>$K$83</formula>
    </cfRule>
  </conditionalFormatting>
  <conditionalFormatting sqref="A83">
    <cfRule type="containsText" dxfId="9" priority="13" operator="containsText" text="ოპერაცია უნდა გადაიდოს!">
      <formula>NOT(ISERROR(SEARCH("ოპერაცია უნდა გადაიდოს!",A83)))</formula>
    </cfRule>
  </conditionalFormatting>
  <conditionalFormatting sqref="A120:B122 A124:B127">
    <cfRule type="expression" dxfId="8" priority="9">
      <formula>$K$106</formula>
    </cfRule>
  </conditionalFormatting>
  <conditionalFormatting sqref="A123">
    <cfRule type="expression" dxfId="7" priority="8">
      <formula>$K$106</formula>
    </cfRule>
  </conditionalFormatting>
  <conditionalFormatting sqref="A162:J163">
    <cfRule type="containsText" dxfId="6" priority="5" operator="containsText" text="უმნიშვნელო">
      <formula>NOT(ISERROR(SEARCH("უმნიშვნელო",A162)))</formula>
    </cfRule>
    <cfRule type="containsText" dxfId="5" priority="6" operator="containsText" text="მცირე">
      <formula>NOT(ISERROR(SEARCH("მცირე",A162)))</formula>
    </cfRule>
    <cfRule type="containsText" dxfId="4" priority="7" operator="containsText" text="მაღალი">
      <formula>NOT(ISERROR(SEARCH("მაღალი",A162)))</formula>
    </cfRule>
  </conditionalFormatting>
  <conditionalFormatting sqref="B184:B187">
    <cfRule type="containsText" dxfId="3" priority="3" operator="containsText" text="არ არის ნაჩვენები">
      <formula>NOT(ISERROR(SEARCH("არ არის ნაჩვენები",B184)))</formula>
    </cfRule>
    <cfRule type="containsText" dxfId="2" priority="4" operator="containsText" text="არ გამოიყენება">
      <formula>NOT(ISERROR(SEARCH("არ გამოიყენება",B184)))</formula>
    </cfRule>
  </conditionalFormatting>
  <conditionalFormatting sqref="B189:B192">
    <cfRule type="containsText" dxfId="1" priority="2" operator="containsText" text="არ გამოიყენება!">
      <formula>NOT(ISERROR(SEARCH("არ გამოიყენება!",B189)))</formula>
    </cfRule>
    <cfRule type="containsText" dxfId="0" priority="1" operator="containsText" text="არ არის ნაჩვენები!">
      <formula>NOT(ISERROR(SEARCH("არ არის ნაჩვენები!",B189)))</formula>
    </cfRule>
  </conditionalFormatting>
  <hyperlinks>
    <hyperlink ref="H28:I28" location="DASI!A1" display="DASI!A1" xr:uid="{002F3868-6101-40B6-AB49-1906BA2AA3A1}"/>
  </hyperlinks>
  <printOptions gridLines="1"/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577850</xdr:colOff>
                    <xdr:row>12</xdr:row>
                    <xdr:rowOff>171450</xdr:rowOff>
                  </from>
                  <to>
                    <xdr:col>2</xdr:col>
                    <xdr:colOff>273050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165100</xdr:rowOff>
                  </from>
                  <to>
                    <xdr:col>4</xdr:col>
                    <xdr:colOff>317500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19050</xdr:colOff>
                    <xdr:row>1</xdr:row>
                    <xdr:rowOff>25400</xdr:rowOff>
                  </from>
                  <to>
                    <xdr:col>4</xdr:col>
                    <xdr:colOff>406400</xdr:colOff>
                    <xdr:row>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3</xdr:col>
                    <xdr:colOff>82550</xdr:colOff>
                    <xdr:row>14</xdr:row>
                    <xdr:rowOff>171450</xdr:rowOff>
                  </from>
                  <to>
                    <xdr:col>9</xdr:col>
                    <xdr:colOff>527050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3</xdr:col>
                    <xdr:colOff>603250</xdr:colOff>
                    <xdr:row>18</xdr:row>
                    <xdr:rowOff>171450</xdr:rowOff>
                  </from>
                  <to>
                    <xdr:col>9</xdr:col>
                    <xdr:colOff>539750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Drop Down 9">
              <controlPr defaultSize="0" autoLine="0" autoPict="0">
                <anchor moveWithCells="1">
                  <from>
                    <xdr:col>4</xdr:col>
                    <xdr:colOff>476250</xdr:colOff>
                    <xdr:row>21</xdr:row>
                    <xdr:rowOff>6350</xdr:rowOff>
                  </from>
                  <to>
                    <xdr:col>5</xdr:col>
                    <xdr:colOff>577850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9</xdr:col>
                    <xdr:colOff>50800</xdr:colOff>
                    <xdr:row>35</xdr:row>
                    <xdr:rowOff>158750</xdr:rowOff>
                  </from>
                  <to>
                    <xdr:col>9</xdr:col>
                    <xdr:colOff>273050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9</xdr:col>
                    <xdr:colOff>57150</xdr:colOff>
                    <xdr:row>37</xdr:row>
                    <xdr:rowOff>158750</xdr:rowOff>
                  </from>
                  <to>
                    <xdr:col>9</xdr:col>
                    <xdr:colOff>279400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9</xdr:col>
                    <xdr:colOff>57150</xdr:colOff>
                    <xdr:row>39</xdr:row>
                    <xdr:rowOff>165100</xdr:rowOff>
                  </from>
                  <to>
                    <xdr:col>9</xdr:col>
                    <xdr:colOff>279400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41</xdr:row>
                    <xdr:rowOff>158750</xdr:rowOff>
                  </from>
                  <to>
                    <xdr:col>9</xdr:col>
                    <xdr:colOff>279400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43</xdr:row>
                    <xdr:rowOff>158750</xdr:rowOff>
                  </from>
                  <to>
                    <xdr:col>9</xdr:col>
                    <xdr:colOff>279400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Drop Down 15">
              <controlPr defaultSize="0" autoLine="0" autoPict="0">
                <anchor moveWithCells="1">
                  <from>
                    <xdr:col>2</xdr:col>
                    <xdr:colOff>19050</xdr:colOff>
                    <xdr:row>52</xdr:row>
                    <xdr:rowOff>158750</xdr:rowOff>
                  </from>
                  <to>
                    <xdr:col>9</xdr:col>
                    <xdr:colOff>571500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7</xdr:col>
                    <xdr:colOff>171450</xdr:colOff>
                    <xdr:row>59</xdr:row>
                    <xdr:rowOff>165100</xdr:rowOff>
                  </from>
                  <to>
                    <xdr:col>8</xdr:col>
                    <xdr:colOff>361950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8</xdr:col>
                    <xdr:colOff>381000</xdr:colOff>
                    <xdr:row>59</xdr:row>
                    <xdr:rowOff>165100</xdr:rowOff>
                  </from>
                  <to>
                    <xdr:col>9</xdr:col>
                    <xdr:colOff>571500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7</xdr:col>
                    <xdr:colOff>177800</xdr:colOff>
                    <xdr:row>61</xdr:row>
                    <xdr:rowOff>171450</xdr:rowOff>
                  </from>
                  <to>
                    <xdr:col>8</xdr:col>
                    <xdr:colOff>368300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8</xdr:col>
                    <xdr:colOff>393700</xdr:colOff>
                    <xdr:row>61</xdr:row>
                    <xdr:rowOff>171450</xdr:rowOff>
                  </from>
                  <to>
                    <xdr:col>9</xdr:col>
                    <xdr:colOff>584200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77</xdr:row>
                    <xdr:rowOff>177800</xdr:rowOff>
                  </from>
                  <to>
                    <xdr:col>8</xdr:col>
                    <xdr:colOff>323850</xdr:colOff>
                    <xdr:row>79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8</xdr:col>
                    <xdr:colOff>349250</xdr:colOff>
                    <xdr:row>77</xdr:row>
                    <xdr:rowOff>177800</xdr:rowOff>
                  </from>
                  <to>
                    <xdr:col>9</xdr:col>
                    <xdr:colOff>539750</xdr:colOff>
                    <xdr:row>79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7</xdr:col>
                    <xdr:colOff>171450</xdr:colOff>
                    <xdr:row>101</xdr:row>
                    <xdr:rowOff>165100</xdr:rowOff>
                  </from>
                  <to>
                    <xdr:col>8</xdr:col>
                    <xdr:colOff>361950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8</xdr:col>
                    <xdr:colOff>381000</xdr:colOff>
                    <xdr:row>101</xdr:row>
                    <xdr:rowOff>165100</xdr:rowOff>
                  </from>
                  <to>
                    <xdr:col>9</xdr:col>
                    <xdr:colOff>571500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7</xdr:col>
                    <xdr:colOff>177800</xdr:colOff>
                    <xdr:row>103</xdr:row>
                    <xdr:rowOff>171450</xdr:rowOff>
                  </from>
                  <to>
                    <xdr:col>8</xdr:col>
                    <xdr:colOff>368300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8</xdr:col>
                    <xdr:colOff>393700</xdr:colOff>
                    <xdr:row>103</xdr:row>
                    <xdr:rowOff>171450</xdr:rowOff>
                  </from>
                  <to>
                    <xdr:col>9</xdr:col>
                    <xdr:colOff>584200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7</xdr:col>
                    <xdr:colOff>190500</xdr:colOff>
                    <xdr:row>118</xdr:row>
                    <xdr:rowOff>177800</xdr:rowOff>
                  </from>
                  <to>
                    <xdr:col>8</xdr:col>
                    <xdr:colOff>381000</xdr:colOff>
                    <xdr:row>120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8</xdr:col>
                    <xdr:colOff>406400</xdr:colOff>
                    <xdr:row>118</xdr:row>
                    <xdr:rowOff>177800</xdr:rowOff>
                  </from>
                  <to>
                    <xdr:col>9</xdr:col>
                    <xdr:colOff>596900</xdr:colOff>
                    <xdr:row>120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7</xdr:col>
                    <xdr:colOff>196850</xdr:colOff>
                    <xdr:row>120</xdr:row>
                    <xdr:rowOff>158750</xdr:rowOff>
                  </from>
                  <to>
                    <xdr:col>8</xdr:col>
                    <xdr:colOff>387350</xdr:colOff>
                    <xdr:row>122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8</xdr:col>
                    <xdr:colOff>412750</xdr:colOff>
                    <xdr:row>120</xdr:row>
                    <xdr:rowOff>158750</xdr:rowOff>
                  </from>
                  <to>
                    <xdr:col>9</xdr:col>
                    <xdr:colOff>603250</xdr:colOff>
                    <xdr:row>122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Drop Down 30">
              <controlPr defaultSize="0" autoLine="0" autoPict="0">
                <anchor moveWithCells="1">
                  <from>
                    <xdr:col>2</xdr:col>
                    <xdr:colOff>19050</xdr:colOff>
                    <xdr:row>156</xdr:row>
                    <xdr:rowOff>158750</xdr:rowOff>
                  </from>
                  <to>
                    <xdr:col>9</xdr:col>
                    <xdr:colOff>571500</xdr:colOff>
                    <xdr:row>158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Drop Down 31">
              <controlPr defaultSize="0" autoLine="0" autoPict="0">
                <anchor moveWithCells="1">
                  <from>
                    <xdr:col>7</xdr:col>
                    <xdr:colOff>438150</xdr:colOff>
                    <xdr:row>152</xdr:row>
                    <xdr:rowOff>0</xdr:rowOff>
                  </from>
                  <to>
                    <xdr:col>9</xdr:col>
                    <xdr:colOff>565150</xdr:colOff>
                    <xdr:row>153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2" name="Drop Down 32">
              <controlPr defaultSize="0" autoLine="0" autoPict="0">
                <anchor moveWithCells="1">
                  <from>
                    <xdr:col>4</xdr:col>
                    <xdr:colOff>533400</xdr:colOff>
                    <xdr:row>174</xdr:row>
                    <xdr:rowOff>177800</xdr:rowOff>
                  </from>
                  <to>
                    <xdr:col>6</xdr:col>
                    <xdr:colOff>6350</xdr:colOff>
                    <xdr:row>176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7B29-5670-49F4-8533-43128EE540FA}">
  <dimension ref="A1:K30"/>
  <sheetViews>
    <sheetView workbookViewId="0">
      <selection sqref="A1:J2"/>
    </sheetView>
  </sheetViews>
  <sheetFormatPr defaultRowHeight="14.5" x14ac:dyDescent="0.35"/>
  <cols>
    <col min="1" max="10" width="8.7265625" style="1"/>
    <col min="11" max="11" width="8.7265625" style="8"/>
    <col min="12" max="16384" width="8.7265625" style="1"/>
  </cols>
  <sheetData>
    <row r="1" spans="1:11" x14ac:dyDescent="0.35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4" spans="1:11" x14ac:dyDescent="0.35">
      <c r="A4" s="2" t="s">
        <v>49</v>
      </c>
      <c r="J4" s="8">
        <f>IF(K4,2.75,0)</f>
        <v>0</v>
      </c>
      <c r="K4" s="7" t="b">
        <v>0</v>
      </c>
    </row>
    <row r="5" spans="1:11" x14ac:dyDescent="0.35">
      <c r="A5" s="2"/>
      <c r="J5" s="8"/>
    </row>
    <row r="6" spans="1:11" x14ac:dyDescent="0.35">
      <c r="A6" s="2" t="s">
        <v>50</v>
      </c>
      <c r="J6" s="8">
        <f>IF(K6,1.75,0)</f>
        <v>0</v>
      </c>
      <c r="K6" s="7" t="b">
        <v>0</v>
      </c>
    </row>
    <row r="7" spans="1:11" x14ac:dyDescent="0.35">
      <c r="A7" s="2"/>
      <c r="J7" s="8"/>
    </row>
    <row r="8" spans="1:11" x14ac:dyDescent="0.35">
      <c r="A8" s="2" t="s">
        <v>51</v>
      </c>
      <c r="J8" s="8">
        <f>IF(K8,2.75,0)</f>
        <v>0</v>
      </c>
      <c r="K8" s="7" t="b">
        <v>0</v>
      </c>
    </row>
    <row r="9" spans="1:11" x14ac:dyDescent="0.35">
      <c r="A9" s="2"/>
      <c r="J9" s="8"/>
    </row>
    <row r="10" spans="1:11" x14ac:dyDescent="0.35">
      <c r="A10" s="2" t="s">
        <v>52</v>
      </c>
      <c r="J10" s="8">
        <f>IF(K10,5.5,0)</f>
        <v>0</v>
      </c>
      <c r="K10" s="7" t="b">
        <v>0</v>
      </c>
    </row>
    <row r="11" spans="1:11" x14ac:dyDescent="0.35">
      <c r="A11" s="2"/>
      <c r="J11" s="8"/>
    </row>
    <row r="12" spans="1:11" x14ac:dyDescent="0.35">
      <c r="A12" s="2" t="s">
        <v>53</v>
      </c>
      <c r="J12" s="8">
        <f>IF(K12,8,0)</f>
        <v>0</v>
      </c>
      <c r="K12" s="7" t="b">
        <v>0</v>
      </c>
    </row>
    <row r="13" spans="1:11" x14ac:dyDescent="0.35">
      <c r="A13" s="2"/>
      <c r="J13" s="8"/>
    </row>
    <row r="14" spans="1:11" x14ac:dyDescent="0.35">
      <c r="A14" s="2" t="s">
        <v>54</v>
      </c>
      <c r="J14" s="8">
        <f>IF(K14,2.7,0)</f>
        <v>0</v>
      </c>
      <c r="K14" s="7" t="b">
        <v>0</v>
      </c>
    </row>
    <row r="15" spans="1:11" x14ac:dyDescent="0.35">
      <c r="J15" s="8"/>
    </row>
    <row r="16" spans="1:11" x14ac:dyDescent="0.35">
      <c r="A16" s="2" t="s">
        <v>60</v>
      </c>
      <c r="J16" s="8">
        <f>IF(K16,3.5,0)</f>
        <v>0</v>
      </c>
      <c r="K16" s="7" t="b">
        <v>0</v>
      </c>
    </row>
    <row r="17" spans="1:11" x14ac:dyDescent="0.35">
      <c r="J17" s="8"/>
    </row>
    <row r="18" spans="1:11" x14ac:dyDescent="0.35">
      <c r="A18" s="2" t="s">
        <v>55</v>
      </c>
      <c r="J18" s="8">
        <f>IF(K18,8,0)</f>
        <v>0</v>
      </c>
      <c r="K18" s="7" t="b">
        <v>0</v>
      </c>
    </row>
    <row r="19" spans="1:11" x14ac:dyDescent="0.35">
      <c r="J19" s="8"/>
    </row>
    <row r="20" spans="1:11" x14ac:dyDescent="0.35">
      <c r="A20" s="2" t="s">
        <v>56</v>
      </c>
      <c r="J20" s="8">
        <f>IF(K20,4.5,0)</f>
        <v>0</v>
      </c>
      <c r="K20" s="7" t="b">
        <v>0</v>
      </c>
    </row>
    <row r="21" spans="1:11" x14ac:dyDescent="0.35">
      <c r="J21" s="8"/>
    </row>
    <row r="22" spans="1:11" x14ac:dyDescent="0.35">
      <c r="A22" s="2" t="s">
        <v>57</v>
      </c>
      <c r="J22" s="8">
        <f>IF(K22,5.25,0)</f>
        <v>0</v>
      </c>
      <c r="K22" s="7" t="b">
        <v>0</v>
      </c>
    </row>
    <row r="23" spans="1:11" x14ac:dyDescent="0.35">
      <c r="J23" s="8"/>
    </row>
    <row r="24" spans="1:11" x14ac:dyDescent="0.35">
      <c r="A24" s="2" t="s">
        <v>58</v>
      </c>
      <c r="J24" s="8">
        <f>IF(K24,6,0)</f>
        <v>0</v>
      </c>
      <c r="K24" s="7" t="b">
        <v>0</v>
      </c>
    </row>
    <row r="25" spans="1:11" x14ac:dyDescent="0.35">
      <c r="J25" s="8"/>
    </row>
    <row r="26" spans="1:11" x14ac:dyDescent="0.35">
      <c r="A26" s="2" t="s">
        <v>59</v>
      </c>
      <c r="J26" s="8">
        <f>IF(K26,7.5,0)</f>
        <v>0</v>
      </c>
      <c r="K26" s="7" t="b">
        <v>0</v>
      </c>
    </row>
    <row r="27" spans="1:11" x14ac:dyDescent="0.35">
      <c r="J27" s="8">
        <f>SUM(J4:J26)</f>
        <v>0</v>
      </c>
    </row>
    <row r="29" spans="1:11" ht="16.5" x14ac:dyDescent="0.45">
      <c r="A29" s="8" t="s">
        <v>62</v>
      </c>
      <c r="B29" s="8"/>
      <c r="C29" s="8">
        <f>0.43*J27+9.6</f>
        <v>9.6</v>
      </c>
    </row>
    <row r="30" spans="1:11" x14ac:dyDescent="0.35">
      <c r="A30" s="8" t="s">
        <v>61</v>
      </c>
      <c r="B30" s="8">
        <f>C29/3.5</f>
        <v>2.7428571428571429</v>
      </c>
      <c r="C30" s="8"/>
    </row>
  </sheetData>
  <sheetProtection algorithmName="SHA-512" hashValue="UXz44abiisUjKe00NmON8DOCKi1ItNaXN4Ot1R2XriHSb3EwE99cb+EtYHGRSxqq8yxHqO5a2hMwF2rVngd2Ug==" saltValue="QhiU2uZUKIl4cx/Qf6mmyQ==" spinCount="100000" sheet="1" objects="1" scenarios="1"/>
  <mergeCells count="1">
    <mergeCell ref="A1:J2"/>
  </mergeCells>
  <hyperlinks>
    <hyperlink ref="A1:J2" location="Sheet!A1" display="დიუკის აქტივობის სტატუსის ინდექსი ანუ DASI" xr:uid="{98F640C6-003C-4977-A5FB-ED7DC4E8B98F}"/>
  </hyperlinks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234950</xdr:colOff>
                    <xdr:row>2</xdr:row>
                    <xdr:rowOff>171450</xdr:rowOff>
                  </from>
                  <to>
                    <xdr:col>9</xdr:col>
                    <xdr:colOff>368300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234950</xdr:colOff>
                    <xdr:row>4</xdr:row>
                    <xdr:rowOff>171450</xdr:rowOff>
                  </from>
                  <to>
                    <xdr:col>9</xdr:col>
                    <xdr:colOff>368300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234950</xdr:colOff>
                    <xdr:row>6</xdr:row>
                    <xdr:rowOff>171450</xdr:rowOff>
                  </from>
                  <to>
                    <xdr:col>9</xdr:col>
                    <xdr:colOff>368300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234950</xdr:colOff>
                    <xdr:row>8</xdr:row>
                    <xdr:rowOff>171450</xdr:rowOff>
                  </from>
                  <to>
                    <xdr:col>9</xdr:col>
                    <xdr:colOff>368300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234950</xdr:colOff>
                    <xdr:row>10</xdr:row>
                    <xdr:rowOff>171450</xdr:rowOff>
                  </from>
                  <to>
                    <xdr:col>9</xdr:col>
                    <xdr:colOff>368300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234950</xdr:colOff>
                    <xdr:row>12</xdr:row>
                    <xdr:rowOff>171450</xdr:rowOff>
                  </from>
                  <to>
                    <xdr:col>9</xdr:col>
                    <xdr:colOff>368300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241300</xdr:colOff>
                    <xdr:row>17</xdr:row>
                    <xdr:rowOff>0</xdr:rowOff>
                  </from>
                  <to>
                    <xdr:col>9</xdr:col>
                    <xdr:colOff>374650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234950</xdr:colOff>
                    <xdr:row>18</xdr:row>
                    <xdr:rowOff>171450</xdr:rowOff>
                  </from>
                  <to>
                    <xdr:col>9</xdr:col>
                    <xdr:colOff>368300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234950</xdr:colOff>
                    <xdr:row>20</xdr:row>
                    <xdr:rowOff>171450</xdr:rowOff>
                  </from>
                  <to>
                    <xdr:col>9</xdr:col>
                    <xdr:colOff>368300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234950</xdr:colOff>
                    <xdr:row>22</xdr:row>
                    <xdr:rowOff>171450</xdr:rowOff>
                  </from>
                  <to>
                    <xdr:col>9</xdr:col>
                    <xdr:colOff>368300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234950</xdr:colOff>
                    <xdr:row>24</xdr:row>
                    <xdr:rowOff>171450</xdr:rowOff>
                  </from>
                  <to>
                    <xdr:col>9</xdr:col>
                    <xdr:colOff>368300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234950</xdr:colOff>
                    <xdr:row>14</xdr:row>
                    <xdr:rowOff>171450</xdr:rowOff>
                  </from>
                  <to>
                    <xdr:col>9</xdr:col>
                    <xdr:colOff>368300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2811-6CE2-4E52-A2DF-30713E81A77B}">
  <dimension ref="A1:AB65"/>
  <sheetViews>
    <sheetView workbookViewId="0">
      <selection sqref="A1:I3"/>
    </sheetView>
  </sheetViews>
  <sheetFormatPr defaultColWidth="9.1796875" defaultRowHeight="14.5" x14ac:dyDescent="0.35"/>
  <cols>
    <col min="1" max="27" width="9.1796875" style="1"/>
    <col min="28" max="28" width="9.1796875" style="27"/>
    <col min="29" max="16384" width="9.1796875" style="1"/>
  </cols>
  <sheetData>
    <row r="1" spans="1:28" ht="15" customHeight="1" x14ac:dyDescent="0.35">
      <c r="A1" s="46" t="s">
        <v>225</v>
      </c>
      <c r="B1" s="46"/>
      <c r="C1" s="46"/>
      <c r="D1" s="46"/>
      <c r="E1" s="46"/>
      <c r="F1" s="46"/>
      <c r="G1" s="46"/>
      <c r="H1" s="46"/>
      <c r="I1" s="46"/>
    </row>
    <row r="2" spans="1:28" ht="15" customHeight="1" x14ac:dyDescent="0.35">
      <c r="A2" s="46"/>
      <c r="B2" s="46"/>
      <c r="C2" s="46"/>
      <c r="D2" s="46"/>
      <c r="E2" s="46"/>
      <c r="F2" s="46"/>
      <c r="G2" s="46"/>
      <c r="H2" s="46"/>
      <c r="I2" s="46"/>
      <c r="AB2" s="28" t="s">
        <v>226</v>
      </c>
    </row>
    <row r="3" spans="1:28" x14ac:dyDescent="0.35">
      <c r="A3" s="46"/>
      <c r="B3" s="46"/>
      <c r="C3" s="46"/>
      <c r="D3" s="46"/>
      <c r="E3" s="46"/>
      <c r="F3" s="46"/>
      <c r="G3" s="46"/>
      <c r="H3" s="46"/>
      <c r="I3" s="46"/>
      <c r="AB3" s="27" t="s">
        <v>227</v>
      </c>
    </row>
    <row r="4" spans="1:28" x14ac:dyDescent="0.35">
      <c r="AB4" s="28" t="s">
        <v>228</v>
      </c>
    </row>
    <row r="5" spans="1:28" x14ac:dyDescent="0.35">
      <c r="A5" s="43" t="s">
        <v>229</v>
      </c>
      <c r="B5" s="43"/>
      <c r="C5" s="43"/>
      <c r="D5" s="43"/>
      <c r="E5" s="43"/>
      <c r="F5" s="43"/>
      <c r="G5" s="43"/>
      <c r="H5" s="43"/>
      <c r="I5" s="43"/>
      <c r="AB5" s="27" t="s">
        <v>230</v>
      </c>
    </row>
    <row r="6" spans="1:28" x14ac:dyDescent="0.35">
      <c r="A6" s="43"/>
      <c r="B6" s="43"/>
      <c r="C6" s="43"/>
      <c r="D6" s="43"/>
      <c r="E6" s="43"/>
      <c r="F6" s="43"/>
      <c r="G6" s="43"/>
      <c r="H6" s="43"/>
      <c r="I6" s="43"/>
    </row>
    <row r="7" spans="1:28" x14ac:dyDescent="0.35">
      <c r="A7" s="5"/>
      <c r="B7" s="5"/>
    </row>
    <row r="8" spans="1:28" x14ac:dyDescent="0.35">
      <c r="A8" s="10" t="s">
        <v>231</v>
      </c>
      <c r="B8" s="5">
        <v>1</v>
      </c>
      <c r="AB8" s="27" t="s">
        <v>232</v>
      </c>
    </row>
    <row r="9" spans="1:28" x14ac:dyDescent="0.35">
      <c r="AB9" s="27" t="s">
        <v>233</v>
      </c>
    </row>
    <row r="10" spans="1:28" x14ac:dyDescent="0.35">
      <c r="A10" s="1" t="str">
        <f>IF(B8=2,"დააყოვნეთ NOAC-ზე გადასვლა და გაიმეორეთ INR: ",IF(B8=3,"შესაძლებელია რივაროქსაბანის დაუყოვნებლივ დაწყება",IF(B8=4,"შესაძლებელია ედოქსაბანის დაუყოვნებლივ დაწყება",IF(B8=5,"შესაძლებელია აპიქსაბანის ან დაბიგატრანის დაუყოვნებლივ დაწყება",""))))</f>
        <v/>
      </c>
    </row>
    <row r="11" spans="1:28" x14ac:dyDescent="0.35">
      <c r="B11" s="1" t="str">
        <f>IF(B8=2,"* აცენოკუმაროლის შემთხვევაში, ბოლო დოზის მიღებიდან 8 საათში;","")</f>
        <v/>
      </c>
      <c r="AB11" s="27" t="s">
        <v>234</v>
      </c>
    </row>
    <row r="12" spans="1:28" x14ac:dyDescent="0.35">
      <c r="B12" s="1" t="str">
        <f>IF(B8=2,"* ვარფარინის შემთხვევაში, ბოლო დოზის მიღებიდან 36-48 საათში;","")</f>
        <v/>
      </c>
      <c r="AB12" s="27" t="s">
        <v>235</v>
      </c>
    </row>
    <row r="13" spans="1:28" x14ac:dyDescent="0.35">
      <c r="B13" s="44" t="str">
        <f>IF(B8=2,"* ფენპროკუმონის შემთხვევაში, ბოლო დოზის მიღებიდან 120-200 საათში ანუ 6 დღეში.","")</f>
        <v/>
      </c>
      <c r="C13" s="44"/>
      <c r="D13" s="44"/>
      <c r="E13" s="44"/>
      <c r="F13" s="44"/>
      <c r="G13" s="44"/>
      <c r="H13" s="44"/>
      <c r="I13" s="44"/>
    </row>
    <row r="14" spans="1:28" x14ac:dyDescent="0.35">
      <c r="B14" s="44"/>
      <c r="C14" s="44"/>
      <c r="D14" s="44"/>
      <c r="E14" s="44"/>
      <c r="F14" s="44"/>
      <c r="G14" s="44"/>
      <c r="H14" s="44"/>
      <c r="I14" s="44"/>
      <c r="AB14" s="27" t="s">
        <v>236</v>
      </c>
    </row>
    <row r="15" spans="1:28" x14ac:dyDescent="0.35">
      <c r="AB15" s="27" t="s">
        <v>237</v>
      </c>
    </row>
    <row r="16" spans="1:28" x14ac:dyDescent="0.35">
      <c r="A16" s="43" t="s">
        <v>238</v>
      </c>
      <c r="B16" s="43"/>
      <c r="C16" s="43"/>
      <c r="D16" s="43"/>
      <c r="E16" s="43"/>
      <c r="F16" s="43"/>
      <c r="G16" s="43"/>
      <c r="H16" s="43"/>
      <c r="I16" s="43"/>
    </row>
    <row r="17" spans="1:28" x14ac:dyDescent="0.35">
      <c r="A17" s="43"/>
      <c r="B17" s="43"/>
      <c r="C17" s="43"/>
      <c r="D17" s="43"/>
      <c r="E17" s="43"/>
      <c r="F17" s="43"/>
      <c r="G17" s="43"/>
      <c r="H17" s="43"/>
      <c r="I17" s="43"/>
      <c r="AB17" s="27" t="s">
        <v>239</v>
      </c>
    </row>
    <row r="18" spans="1:28" x14ac:dyDescent="0.35">
      <c r="S18" s="29"/>
      <c r="T18" s="29"/>
      <c r="U18" s="29"/>
      <c r="V18" s="29"/>
      <c r="W18" s="29"/>
      <c r="X18" s="29"/>
      <c r="Y18" s="29"/>
      <c r="Z18" s="29"/>
      <c r="AA18" s="29"/>
      <c r="AB18" s="30" t="s">
        <v>240</v>
      </c>
    </row>
    <row r="19" spans="1:28" ht="15" customHeight="1" x14ac:dyDescent="0.35">
      <c r="A19" s="44" t="s">
        <v>241</v>
      </c>
      <c r="B19" s="44"/>
      <c r="C19" s="44"/>
      <c r="D19" s="44"/>
      <c r="E19" s="44"/>
      <c r="F19" s="44"/>
      <c r="G19" s="44"/>
      <c r="H19" s="44"/>
      <c r="I19" s="44"/>
      <c r="S19" s="29"/>
      <c r="T19" s="29"/>
      <c r="U19" s="29"/>
      <c r="V19" s="29"/>
      <c r="W19" s="29"/>
      <c r="X19" s="29"/>
      <c r="Y19" s="29"/>
      <c r="Z19" s="29"/>
      <c r="AA19" s="29"/>
      <c r="AB19" s="30"/>
    </row>
    <row r="20" spans="1:28" x14ac:dyDescent="0.35">
      <c r="A20" s="44"/>
      <c r="B20" s="44"/>
      <c r="C20" s="44"/>
      <c r="D20" s="44"/>
      <c r="E20" s="44"/>
      <c r="F20" s="44"/>
      <c r="G20" s="44"/>
      <c r="H20" s="44"/>
      <c r="I20" s="44"/>
      <c r="S20" s="29"/>
      <c r="T20" s="29"/>
      <c r="U20" s="29"/>
      <c r="V20" s="29"/>
      <c r="W20" s="29"/>
      <c r="X20" s="29"/>
      <c r="Y20" s="29"/>
      <c r="Z20" s="29"/>
      <c r="AA20" s="29"/>
      <c r="AB20" s="30" t="s">
        <v>242</v>
      </c>
    </row>
    <row r="21" spans="1:28" x14ac:dyDescent="0.35">
      <c r="A21" s="44"/>
      <c r="B21" s="44"/>
      <c r="C21" s="44"/>
      <c r="D21" s="44"/>
      <c r="E21" s="44"/>
      <c r="F21" s="44"/>
      <c r="G21" s="44"/>
      <c r="H21" s="44"/>
      <c r="I21" s="44"/>
      <c r="S21" s="29"/>
      <c r="T21" s="29"/>
      <c r="U21" s="29"/>
      <c r="V21" s="29"/>
      <c r="W21" s="29"/>
      <c r="X21" s="29"/>
      <c r="Y21" s="29"/>
      <c r="Z21" s="29"/>
      <c r="AA21" s="29"/>
      <c r="AB21" s="30" t="s">
        <v>243</v>
      </c>
    </row>
    <row r="22" spans="1:28" x14ac:dyDescent="0.35">
      <c r="S22" s="29"/>
      <c r="T22" s="29"/>
      <c r="U22" s="29"/>
      <c r="V22" s="29"/>
      <c r="W22" s="29"/>
      <c r="X22" s="29"/>
      <c r="Y22" s="29"/>
      <c r="Z22" s="29"/>
      <c r="AA22" s="29"/>
      <c r="AB22" s="30"/>
    </row>
    <row r="23" spans="1:28" x14ac:dyDescent="0.35">
      <c r="A23" s="44" t="s">
        <v>244</v>
      </c>
      <c r="B23" s="44"/>
      <c r="C23" s="44"/>
      <c r="D23" s="44"/>
      <c r="E23" s="44"/>
      <c r="F23" s="44"/>
      <c r="G23" s="44"/>
      <c r="H23" s="44"/>
      <c r="I23" s="44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1:28" x14ac:dyDescent="0.35">
      <c r="A24" s="44"/>
      <c r="B24" s="44"/>
      <c r="C24" s="44"/>
      <c r="D24" s="44"/>
      <c r="E24" s="44"/>
      <c r="F24" s="44"/>
      <c r="G24" s="44"/>
      <c r="H24" s="44"/>
      <c r="I24" s="44"/>
      <c r="S24" s="29"/>
      <c r="T24" s="29"/>
      <c r="U24" s="29"/>
      <c r="V24" s="29"/>
      <c r="W24" s="29"/>
      <c r="X24" s="29"/>
      <c r="Y24" s="29"/>
      <c r="Z24" s="29"/>
      <c r="AA24" s="29"/>
      <c r="AB24" s="30"/>
    </row>
    <row r="25" spans="1:28" x14ac:dyDescent="0.35">
      <c r="B25" s="5"/>
      <c r="S25" s="29"/>
      <c r="T25" s="29"/>
      <c r="U25" s="29"/>
      <c r="V25" s="29"/>
      <c r="W25" s="29"/>
      <c r="X25" s="29"/>
      <c r="Y25" s="29"/>
      <c r="Z25" s="29"/>
      <c r="AA25" s="29"/>
      <c r="AB25" s="30"/>
    </row>
    <row r="26" spans="1:28" x14ac:dyDescent="0.35">
      <c r="A26" s="1" t="s">
        <v>245</v>
      </c>
      <c r="B26" s="5">
        <v>1</v>
      </c>
      <c r="S26" s="29"/>
      <c r="T26" s="29"/>
      <c r="U26" s="29"/>
      <c r="V26" s="29"/>
      <c r="W26" s="29"/>
      <c r="X26" s="29"/>
      <c r="Y26" s="29"/>
      <c r="Z26" s="29"/>
      <c r="AA26" s="29"/>
      <c r="AB26" s="30"/>
    </row>
    <row r="28" spans="1:28" x14ac:dyDescent="0.35">
      <c r="A28" s="44" t="str">
        <f>IF(B26=2,"გააგრძელეთ NOAC-ისა და VKA-ის კომბინაცია და გაიმოერეთ INR 1-3 დღეში, NOAC-ის მორიგი დოზის მიღების წინ",IF(B26=3,"შეწყვიტეთ NOAC, გააგრძელეთ მხოლოდ VKA და გაიმოერეთ INR-ის ანალიზი NOAC-ის შეწყვეტიდან 1 დღეში",""))</f>
        <v/>
      </c>
      <c r="B28" s="44"/>
      <c r="C28" s="44"/>
      <c r="D28" s="44"/>
      <c r="E28" s="44"/>
      <c r="F28" s="44"/>
      <c r="G28" s="44"/>
      <c r="H28" s="44"/>
      <c r="I28" s="44"/>
    </row>
    <row r="29" spans="1:28" x14ac:dyDescent="0.35">
      <c r="A29" s="44"/>
      <c r="B29" s="44"/>
      <c r="C29" s="44"/>
      <c r="D29" s="44"/>
      <c r="E29" s="44"/>
      <c r="F29" s="44"/>
      <c r="G29" s="44"/>
      <c r="H29" s="44"/>
      <c r="I29" s="44"/>
    </row>
    <row r="31" spans="1:28" ht="15" customHeight="1" x14ac:dyDescent="0.35">
      <c r="A31" s="44" t="str">
        <f>IF(B26=2,"NOAC-ისა და VKA-ის ერთდროული მიღების მიზანშეუწონლობის შემთხვევაში, ჯერ უნდა მოხდეს NOAC-ის გადართვა დაბალმოლეკულურ ჰეპარინზე (LMWH)  და შემდეგ ამ უკანასკნელის, VKA-ზე (იხილეთ ქვემოთ)",IF(B26=3,"NOAC-ისა და VKA-ის ერთდროული მიღების მიზანშეუწონლობის შემთხვევაში, ჯერ უნდა მოხდეს NOAC-ის გადართვა დაბალმოლეკულურ ჰეპარინზე (LMWH)  და შემდეგ ამ უკანასკნელის, VKA-ზე (იხილეთ ქვემოთ)",""))</f>
        <v/>
      </c>
      <c r="B31" s="44"/>
      <c r="C31" s="44"/>
      <c r="D31" s="44"/>
      <c r="E31" s="44"/>
      <c r="F31" s="44"/>
      <c r="G31" s="44"/>
      <c r="H31" s="44"/>
      <c r="I31" s="44"/>
    </row>
    <row r="32" spans="1:28" x14ac:dyDescent="0.35">
      <c r="A32" s="44"/>
      <c r="B32" s="44"/>
      <c r="C32" s="44"/>
      <c r="D32" s="44"/>
      <c r="E32" s="44"/>
      <c r="F32" s="44"/>
      <c r="G32" s="44"/>
      <c r="H32" s="44"/>
      <c r="I32" s="44"/>
    </row>
    <row r="33" spans="1:9" x14ac:dyDescent="0.35">
      <c r="A33" s="44"/>
      <c r="B33" s="44"/>
      <c r="C33" s="44"/>
      <c r="D33" s="44"/>
      <c r="E33" s="44"/>
      <c r="F33" s="44"/>
      <c r="G33" s="44"/>
      <c r="H33" s="44"/>
      <c r="I33" s="44"/>
    </row>
    <row r="35" spans="1:9" x14ac:dyDescent="0.35">
      <c r="A35" s="43" t="s">
        <v>246</v>
      </c>
      <c r="B35" s="43"/>
      <c r="C35" s="43"/>
      <c r="D35" s="43"/>
      <c r="E35" s="43"/>
      <c r="F35" s="43"/>
      <c r="G35" s="43"/>
      <c r="H35" s="43"/>
      <c r="I35" s="43"/>
    </row>
    <row r="36" spans="1:9" x14ac:dyDescent="0.35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35">
      <c r="D37" s="5"/>
      <c r="E37" s="5"/>
    </row>
    <row r="38" spans="1:9" x14ac:dyDescent="0.35">
      <c r="A38" s="1" t="s">
        <v>247</v>
      </c>
      <c r="D38" s="5"/>
      <c r="E38" s="5">
        <v>1</v>
      </c>
    </row>
    <row r="40" spans="1:9" x14ac:dyDescent="0.35">
      <c r="A40" s="44" t="str">
        <f>IF(E38=2,"პარენტერალური ჰეპარინის პირველი დოზა გააკეთეთ NOAC-ის ბოლო აბის მიღებიდან 12 საათში",IF(E38=3,"პარენტერალური ჰეპარინის პირველი დოზა გააკეთეთ NOAC-ის ბოლო აბის მიღებიდან 24 საათში",""))</f>
        <v/>
      </c>
      <c r="B40" s="44"/>
      <c r="C40" s="44"/>
      <c r="D40" s="44"/>
      <c r="E40" s="44"/>
      <c r="F40" s="44"/>
      <c r="G40" s="44"/>
      <c r="H40" s="44"/>
      <c r="I40" s="44"/>
    </row>
    <row r="41" spans="1:9" x14ac:dyDescent="0.35">
      <c r="A41" s="44"/>
      <c r="B41" s="44"/>
      <c r="C41" s="44"/>
      <c r="D41" s="44"/>
      <c r="E41" s="44"/>
      <c r="F41" s="44"/>
      <c r="G41" s="44"/>
      <c r="H41" s="44"/>
      <c r="I41" s="44"/>
    </row>
    <row r="43" spans="1:9" x14ac:dyDescent="0.35">
      <c r="A43" s="43" t="s">
        <v>248</v>
      </c>
      <c r="B43" s="43"/>
      <c r="C43" s="43"/>
      <c r="D43" s="43"/>
      <c r="E43" s="43"/>
      <c r="F43" s="43"/>
      <c r="G43" s="43"/>
      <c r="H43" s="43"/>
      <c r="I43" s="43"/>
    </row>
    <row r="44" spans="1:9" x14ac:dyDescent="0.35">
      <c r="A44" s="43"/>
      <c r="B44" s="43"/>
      <c r="C44" s="43"/>
      <c r="D44" s="43"/>
      <c r="E44" s="43"/>
      <c r="F44" s="43"/>
      <c r="G44" s="43"/>
      <c r="H44" s="43"/>
      <c r="I44" s="43"/>
    </row>
    <row r="45" spans="1:9" x14ac:dyDescent="0.35">
      <c r="D45" s="5"/>
      <c r="E45" s="5"/>
      <c r="F45" s="5"/>
      <c r="G45" s="5"/>
    </row>
    <row r="46" spans="1:9" x14ac:dyDescent="0.35">
      <c r="A46" s="1" t="s">
        <v>249</v>
      </c>
      <c r="D46" s="5"/>
      <c r="E46" s="5">
        <v>1</v>
      </c>
      <c r="F46" s="5"/>
      <c r="G46" s="5"/>
    </row>
    <row r="48" spans="1:9" ht="15" customHeight="1" x14ac:dyDescent="0.35">
      <c r="A48" s="45" t="str">
        <f>IF(E46=2,"NOAC-ის დაწყება შესაძლებელია ინტრავენური არაფრაქცირებული ჰეპარინის შეწყვეტიდან 2-4 საათში",IF(E46=3,"NOAC დაიწყეთ დაბალმოლეკულური ჰეპარინის მომდევნო დოზის ნაცვლად. გაითვალისწინეთ, რომ თირკმლების დაზიანების შემთხვევაში, დაბალმოლეკულური ჰეპარინის ელიმინაცია გახანგრძივებულია",""))</f>
        <v/>
      </c>
      <c r="B48" s="45"/>
      <c r="C48" s="45"/>
      <c r="D48" s="45"/>
      <c r="E48" s="45"/>
      <c r="F48" s="45"/>
      <c r="G48" s="45"/>
      <c r="H48" s="45"/>
      <c r="I48" s="45"/>
    </row>
    <row r="49" spans="1:9" x14ac:dyDescent="0.35">
      <c r="A49" s="45"/>
      <c r="B49" s="45"/>
      <c r="C49" s="45"/>
      <c r="D49" s="45"/>
      <c r="E49" s="45"/>
      <c r="F49" s="45"/>
      <c r="G49" s="45"/>
      <c r="H49" s="45"/>
      <c r="I49" s="45"/>
    </row>
    <row r="50" spans="1:9" x14ac:dyDescent="0.35">
      <c r="A50" s="45"/>
      <c r="B50" s="45"/>
      <c r="C50" s="45"/>
      <c r="D50" s="45"/>
      <c r="E50" s="45"/>
      <c r="F50" s="45"/>
      <c r="G50" s="45"/>
      <c r="H50" s="45"/>
      <c r="I50" s="45"/>
    </row>
    <row r="51" spans="1:9" x14ac:dyDescent="0.35">
      <c r="A51" s="43" t="s">
        <v>250</v>
      </c>
      <c r="B51" s="43"/>
      <c r="C51" s="43"/>
      <c r="D51" s="43"/>
      <c r="E51" s="43"/>
      <c r="F51" s="43"/>
      <c r="G51" s="43"/>
      <c r="H51" s="43"/>
      <c r="I51" s="43"/>
    </row>
    <row r="52" spans="1:9" x14ac:dyDescent="0.35">
      <c r="A52" s="43"/>
      <c r="B52" s="43"/>
      <c r="C52" s="43"/>
      <c r="D52" s="43"/>
      <c r="E52" s="43"/>
      <c r="F52" s="43"/>
      <c r="G52" s="43"/>
      <c r="H52" s="43"/>
      <c r="I52" s="43"/>
    </row>
    <row r="53" spans="1:9" x14ac:dyDescent="0.35">
      <c r="E53" s="5"/>
    </row>
    <row r="54" spans="1:9" x14ac:dyDescent="0.35">
      <c r="A54" s="1" t="s">
        <v>251</v>
      </c>
      <c r="E54" s="5">
        <v>1</v>
      </c>
    </row>
    <row r="56" spans="1:9" x14ac:dyDescent="0.35">
      <c r="A56" s="44" t="str">
        <f>IF(E54=2,"ერთჯერადად მისაღები NOAC დაიწყეთ ინიციალური NOAC-ის მომდევნო დოზის ნაცვლად",IF(E54=3,"ორჯერადად მისაღები NOAC დაიწყეთ ინიციალური NOAC-ის მომდევნო დოზის ნაცვლად",""))</f>
        <v/>
      </c>
      <c r="B56" s="44"/>
      <c r="C56" s="44"/>
      <c r="D56" s="44"/>
      <c r="E56" s="44"/>
      <c r="F56" s="44"/>
      <c r="G56" s="44"/>
      <c r="H56" s="44"/>
      <c r="I56" s="44"/>
    </row>
    <row r="57" spans="1:9" x14ac:dyDescent="0.35">
      <c r="A57" s="44"/>
      <c r="B57" s="44"/>
      <c r="C57" s="44"/>
      <c r="D57" s="44"/>
      <c r="E57" s="44"/>
      <c r="F57" s="44"/>
      <c r="G57" s="44"/>
      <c r="H57" s="44"/>
      <c r="I57" s="44"/>
    </row>
    <row r="59" spans="1:9" x14ac:dyDescent="0.35">
      <c r="A59" s="43" t="s">
        <v>252</v>
      </c>
      <c r="B59" s="43"/>
      <c r="C59" s="43"/>
      <c r="D59" s="43"/>
      <c r="E59" s="43"/>
      <c r="F59" s="43"/>
      <c r="G59" s="43"/>
      <c r="H59" s="43"/>
      <c r="I59" s="43"/>
    </row>
    <row r="60" spans="1:9" x14ac:dyDescent="0.35">
      <c r="A60" s="43"/>
      <c r="B60" s="43"/>
      <c r="C60" s="43"/>
      <c r="D60" s="43"/>
      <c r="E60" s="43"/>
      <c r="F60" s="43"/>
      <c r="G60" s="43"/>
      <c r="H60" s="43"/>
      <c r="I60" s="43"/>
    </row>
    <row r="61" spans="1:9" x14ac:dyDescent="0.35">
      <c r="E61" s="5"/>
    </row>
    <row r="62" spans="1:9" x14ac:dyDescent="0.35">
      <c r="A62" s="1" t="s">
        <v>253</v>
      </c>
      <c r="E62" s="5">
        <v>1</v>
      </c>
    </row>
    <row r="64" spans="1:9" x14ac:dyDescent="0.35">
      <c r="A64" s="44" t="str">
        <f>IF(E62=2,"დაიწყეთ NOAC ასპირინის შეწყვეტისთანავე, თუ არ არის ნაჩვენები კომბინირებული თერაპია",IF(E62=3,"დაიწყეთ NOAC კლოპიდოგრელის შეწყვეტისთანავე, თუ არ არის ნაჩვენები კომბინირებული თერაპია",""))</f>
        <v/>
      </c>
      <c r="B64" s="44"/>
      <c r="C64" s="44"/>
      <c r="D64" s="44"/>
      <c r="E64" s="44"/>
      <c r="F64" s="44"/>
      <c r="G64" s="44"/>
      <c r="H64" s="44"/>
      <c r="I64" s="44"/>
    </row>
    <row r="65" spans="1:9" x14ac:dyDescent="0.35">
      <c r="A65" s="44"/>
      <c r="B65" s="44"/>
      <c r="C65" s="44"/>
      <c r="D65" s="44"/>
      <c r="E65" s="44"/>
      <c r="F65" s="44"/>
      <c r="G65" s="44"/>
      <c r="H65" s="44"/>
      <c r="I65" s="44"/>
    </row>
  </sheetData>
  <sheetProtection algorithmName="SHA-512" hashValue="0gIplzmgPMOl2DWvZKCZRjqx/BBSTXmbRS01tu5NoOJ3AfT2dqD6nhIrufabY1X4LoY7cQJ4NAMi0io9+dhCAA==" saltValue="T4GObAzlbgyv4Og8GcMhOQ==" spinCount="100000" sheet="1" objects="1" scenarios="1"/>
  <mergeCells count="16">
    <mergeCell ref="A23:I24"/>
    <mergeCell ref="A1:I3"/>
    <mergeCell ref="A5:I6"/>
    <mergeCell ref="B13:I14"/>
    <mergeCell ref="A16:I17"/>
    <mergeCell ref="A19:I21"/>
    <mergeCell ref="A51:I52"/>
    <mergeCell ref="A56:I57"/>
    <mergeCell ref="A59:I60"/>
    <mergeCell ref="A64:I65"/>
    <mergeCell ref="A28:I29"/>
    <mergeCell ref="A31:I33"/>
    <mergeCell ref="A35:I36"/>
    <mergeCell ref="A40:I41"/>
    <mergeCell ref="A43:I44"/>
    <mergeCell ref="A48:I50"/>
  </mergeCells>
  <hyperlinks>
    <hyperlink ref="A1:I3" location="Main!A1" display="ანტიკოაგულაციურ რეჟიმებს შორის გადართვა (switching)" xr:uid="{46F6147A-6D76-41F5-AFDA-31F2340B701F}"/>
  </hyperlinks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0</xdr:col>
                    <xdr:colOff>323850</xdr:colOff>
                    <xdr:row>7</xdr:row>
                    <xdr:rowOff>0</xdr:rowOff>
                  </from>
                  <to>
                    <xdr:col>2</xdr:col>
                    <xdr:colOff>101600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0</xdr:col>
                    <xdr:colOff>546100</xdr:colOff>
                    <xdr:row>25</xdr:row>
                    <xdr:rowOff>0</xdr:rowOff>
                  </from>
                  <to>
                    <xdr:col>2</xdr:col>
                    <xdr:colOff>76200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107950</xdr:colOff>
                    <xdr:row>36</xdr:row>
                    <xdr:rowOff>184150</xdr:rowOff>
                  </from>
                  <to>
                    <xdr:col>5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450850</xdr:colOff>
                    <xdr:row>45</xdr:row>
                    <xdr:rowOff>0</xdr:rowOff>
                  </from>
                  <to>
                    <xdr:col>7</xdr:col>
                    <xdr:colOff>38100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1</xdr:col>
                    <xdr:colOff>361950</xdr:colOff>
                    <xdr:row>52</xdr:row>
                    <xdr:rowOff>184150</xdr:rowOff>
                  </from>
                  <to>
                    <xdr:col>9</xdr:col>
                    <xdr:colOff>254000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 moveWithCells="1">
                  <from>
                    <xdr:col>1</xdr:col>
                    <xdr:colOff>457200</xdr:colOff>
                    <xdr:row>60</xdr:row>
                    <xdr:rowOff>184150</xdr:rowOff>
                  </from>
                  <to>
                    <xdr:col>6</xdr:col>
                    <xdr:colOff>25400</xdr:colOff>
                    <xdr:row>62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</vt:lpstr>
      <vt:lpstr>DASI</vt:lpstr>
      <vt:lpstr>Switching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Kakhaber</dc:creator>
  <cp:lastModifiedBy>Kakhaber</cp:lastModifiedBy>
  <dcterms:created xsi:type="dcterms:W3CDTF">2024-04-08T15:38:01Z</dcterms:created>
  <dcterms:modified xsi:type="dcterms:W3CDTF">2024-05-23T16:14:09Z</dcterms:modified>
</cp:coreProperties>
</file>