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5.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6.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7.xml" ContentType="application/vnd.openxmlformats-officedocument.drawing+xml"/>
  <Override PartName="/xl/ctrlProps/ctrlProp95.xml" ContentType="application/vnd.ms-excel.controlproperties+xml"/>
  <Override PartName="/xl/drawings/drawing8.xml" ContentType="application/vnd.openxmlformats-officedocument.drawing+xml"/>
  <Override PartName="/xl/ctrlProps/ctrlProp96.xml" ContentType="application/vnd.ms-excel.controlproperties+xml"/>
  <Override PartName="/xl/drawings/drawing9.xml" ContentType="application/vnd.openxmlformats-officedocument.drawing+xml"/>
  <Override PartName="/xl/ctrlProps/ctrlProp97.xml" ContentType="application/vnd.ms-excel.controlproperties+xml"/>
  <Override PartName="/xl/drawings/drawing10.xml" ContentType="application/vnd.openxmlformats-officedocument.drawing+xml"/>
  <Override PartName="/xl/ctrlProps/ctrlProp98.xml" ContentType="application/vnd.ms-excel.controlproperties+xml"/>
  <Override PartName="/xl/drawings/drawing11.xml" ContentType="application/vnd.openxmlformats-officedocument.drawing+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12.xml" ContentType="application/vnd.openxmlformats-officedocument.drawing+xml"/>
  <Override PartName="/xl/ctrlProps/ctrlProp102.xml" ContentType="application/vnd.ms-excel.controlproperties+xml"/>
  <Override PartName="/xl/ctrlProps/ctrlProp103.xml" ContentType="application/vnd.ms-excel.controlproperties+xml"/>
  <Override PartName="/xl/drawings/drawing13.xml" ContentType="application/vnd.openxmlformats-officedocument.drawing+xml"/>
  <Override PartName="/xl/ctrlProps/ctrlProp1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Clinic\Calculators\"/>
    </mc:Choice>
  </mc:AlternateContent>
  <xr:revisionPtr revIDLastSave="0" documentId="13_ncr:1_{4994356B-36CB-42DF-9A50-15119CAE5EE6}" xr6:coauthVersionLast="47" xr6:coauthVersionMax="47" xr10:uidLastSave="{00000000-0000-0000-0000-000000000000}"/>
  <bookViews>
    <workbookView xWindow="-120" yWindow="-120" windowWidth="29040" windowHeight="16440" xr2:uid="{276CB2B5-FA2C-4B93-8C0D-2BDC7D67BFE2}"/>
  </bookViews>
  <sheets>
    <sheet name="Main" sheetId="14" r:id="rId1"/>
    <sheet name="Sheet1" sheetId="1" r:id="rId2"/>
    <sheet name="PSI" sheetId="2" r:id="rId3"/>
    <sheet name="CURB" sheetId="3" r:id="rId4"/>
    <sheet name="Empiric GW" sheetId="4" r:id="rId5"/>
    <sheet name="Penicillin" sheetId="5" r:id="rId6"/>
    <sheet name="ICU" sheetId="6" r:id="rId7"/>
    <sheet name="Inpatients" sheetId="7" r:id="rId8"/>
    <sheet name="Switching" sheetId="8" r:id="rId9"/>
    <sheet name="Duration" sheetId="9" r:id="rId10"/>
    <sheet name="Procalcitonin" sheetId="10" r:id="rId11"/>
    <sheet name="Follow-up" sheetId="11" r:id="rId12"/>
    <sheet name="Radiography" sheetId="12" r:id="rId13"/>
    <sheet name="Regimens" sheetId="13" r:id="rId1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0" i="8" l="1"/>
  <c r="C46" i="8"/>
  <c r="C43" i="8"/>
  <c r="B18" i="9"/>
  <c r="A11" i="11"/>
  <c r="A10" i="11"/>
  <c r="P21" i="11"/>
  <c r="B13" i="12"/>
  <c r="E10" i="13"/>
  <c r="E6" i="13"/>
  <c r="A10" i="13"/>
  <c r="A6" i="13"/>
  <c r="A15" i="12"/>
  <c r="A16" i="12"/>
  <c r="AC7" i="12"/>
  <c r="AC6" i="12"/>
  <c r="B12" i="12"/>
  <c r="A10" i="12"/>
  <c r="P22" i="11"/>
  <c r="P20" i="11"/>
  <c r="O19" i="11"/>
  <c r="P18" i="11"/>
  <c r="P17" i="11"/>
  <c r="O16" i="11"/>
  <c r="P15" i="11"/>
  <c r="P14" i="11"/>
  <c r="P13" i="11"/>
  <c r="P12" i="11"/>
  <c r="P11" i="11"/>
  <c r="P10" i="11"/>
  <c r="P9" i="11"/>
  <c r="P8" i="11"/>
  <c r="P7" i="11"/>
  <c r="P6" i="11"/>
  <c r="O5" i="11"/>
  <c r="P4" i="11"/>
  <c r="P3" i="11"/>
  <c r="O2" i="11"/>
  <c r="O1" i="11"/>
  <c r="AC10" i="11"/>
  <c r="AC9" i="11"/>
  <c r="A15" i="11"/>
  <c r="A12" i="11"/>
  <c r="AC6" i="11"/>
  <c r="AC7" i="11"/>
  <c r="A6" i="11"/>
  <c r="A8" i="11"/>
  <c r="B18" i="10"/>
  <c r="O13" i="10"/>
  <c r="Q13" i="10" s="1"/>
  <c r="B17" i="10" s="1"/>
  <c r="B29" i="9"/>
  <c r="B27" i="9"/>
  <c r="D25" i="9"/>
  <c r="D24" i="9"/>
  <c r="D23" i="9"/>
  <c r="C22" i="9"/>
  <c r="C21" i="9"/>
  <c r="C20" i="9"/>
  <c r="B16" i="9"/>
  <c r="B12" i="9"/>
  <c r="B9" i="9"/>
  <c r="F10" i="9"/>
  <c r="C15" i="9"/>
  <c r="C14" i="9"/>
  <c r="C11" i="9"/>
  <c r="C54" i="8"/>
  <c r="E53" i="8"/>
  <c r="E49" i="8"/>
  <c r="C52" i="8"/>
  <c r="C48" i="8"/>
  <c r="C51" i="8"/>
  <c r="C47" i="8"/>
  <c r="E45" i="8"/>
  <c r="C32" i="8"/>
  <c r="C44" i="8"/>
  <c r="C22" i="8"/>
  <c r="C25" i="8"/>
  <c r="E36" i="8"/>
  <c r="C31" i="8"/>
  <c r="B42" i="8"/>
  <c r="B30" i="8"/>
  <c r="C39" i="8"/>
  <c r="C38" i="8"/>
  <c r="C37" i="8"/>
  <c r="E33" i="8"/>
  <c r="C34" i="8"/>
  <c r="E24" i="8"/>
  <c r="C23" i="8"/>
  <c r="B27" i="8"/>
  <c r="B19" i="8"/>
  <c r="B16" i="8"/>
  <c r="O4" i="7"/>
  <c r="B15" i="7" s="1"/>
  <c r="B22" i="4"/>
  <c r="B22" i="6"/>
  <c r="A26" i="6"/>
  <c r="N26" i="6" s="1"/>
  <c r="A25" i="6"/>
  <c r="N25" i="6" s="1"/>
  <c r="B21" i="6"/>
  <c r="B20" i="6"/>
  <c r="B19" i="6"/>
  <c r="B18" i="6"/>
  <c r="B17" i="6"/>
  <c r="B16" i="6"/>
  <c r="B15" i="6"/>
  <c r="B14" i="6"/>
  <c r="B13" i="6"/>
  <c r="B12" i="6"/>
  <c r="B11" i="6"/>
  <c r="B10" i="6"/>
  <c r="B9" i="6"/>
  <c r="B8" i="6"/>
  <c r="B7" i="6"/>
  <c r="A6" i="6"/>
  <c r="B21" i="4"/>
  <c r="B20" i="4"/>
  <c r="B19" i="4"/>
  <c r="B18" i="4"/>
  <c r="B17" i="4"/>
  <c r="B16" i="4"/>
  <c r="B15" i="4"/>
  <c r="B14" i="4"/>
  <c r="B13" i="4"/>
  <c r="B12" i="4"/>
  <c r="B11" i="4"/>
  <c r="B10" i="4"/>
  <c r="B9" i="4"/>
  <c r="B8" i="4"/>
  <c r="B7" i="4"/>
  <c r="A26" i="4"/>
  <c r="N26" i="4" s="1"/>
  <c r="A25" i="4"/>
  <c r="N25" i="4" s="1"/>
  <c r="A6" i="4"/>
  <c r="B6" i="1"/>
  <c r="B5" i="1"/>
  <c r="L6" i="1"/>
  <c r="I6" i="1"/>
  <c r="I9" i="1"/>
  <c r="I7" i="1"/>
  <c r="L7" i="1"/>
  <c r="I5" i="1"/>
  <c r="H13" i="3"/>
  <c r="H11" i="3"/>
  <c r="H9" i="3"/>
  <c r="H7" i="3"/>
  <c r="H5" i="3"/>
  <c r="J6" i="1"/>
  <c r="J24" i="2"/>
  <c r="J23" i="2"/>
  <c r="J22" i="2"/>
  <c r="J21" i="2"/>
  <c r="J20" i="2"/>
  <c r="J19" i="2"/>
  <c r="J18" i="2"/>
  <c r="J17" i="2"/>
  <c r="J16" i="2"/>
  <c r="J15" i="2"/>
  <c r="J14" i="2"/>
  <c r="J13" i="2"/>
  <c r="J12" i="2"/>
  <c r="J11" i="2"/>
  <c r="J10" i="2"/>
  <c r="J9" i="2"/>
  <c r="J8" i="2"/>
  <c r="J7" i="2"/>
  <c r="J6" i="2"/>
  <c r="J5" i="2"/>
  <c r="J25" i="2" l="1"/>
  <c r="A39" i="2" s="1"/>
  <c r="I8" i="1" s="1"/>
  <c r="H10" i="1" s="1"/>
  <c r="A29" i="4"/>
  <c r="B24" i="7"/>
  <c r="B7" i="7"/>
  <c r="B11" i="7"/>
  <c r="C19" i="7"/>
  <c r="A6" i="7"/>
  <c r="C18" i="7"/>
  <c r="A22" i="7"/>
  <c r="A28" i="6"/>
  <c r="A31" i="6"/>
  <c r="A31" i="4"/>
  <c r="A28" i="4"/>
  <c r="H14" i="3"/>
  <c r="A15" i="3" s="1"/>
  <c r="D36" i="2" l="1"/>
  <c r="A36" i="2"/>
  <c r="B36" i="2"/>
  <c r="A20" i="3"/>
  <c r="K8" i="1" s="1"/>
  <c r="I4" i="1"/>
  <c r="B18" i="1"/>
  <c r="B17" i="1"/>
  <c r="B16" i="1"/>
  <c r="B13" i="1"/>
  <c r="B15" i="1"/>
  <c r="B14" i="1"/>
  <c r="B12" i="1"/>
  <c r="B11" i="1"/>
  <c r="B10" i="1"/>
  <c r="B8" i="1"/>
  <c r="B4" i="1"/>
  <c r="G10" i="1" l="1"/>
</calcChain>
</file>

<file path=xl/sharedStrings.xml><?xml version="1.0" encoding="utf-8"?>
<sst xmlns="http://schemas.openxmlformats.org/spreadsheetml/2006/main" count="379" uniqueCount="300">
  <si>
    <t>არა</t>
  </si>
  <si>
    <t>წამლის per os მიღების პრობლემა</t>
  </si>
  <si>
    <t>ნარკოტიკების მოხმარება</t>
  </si>
  <si>
    <t>მენტალური დაავადება</t>
  </si>
  <si>
    <t>კოგნიტიური ან ფუნქციური მოშლა</t>
  </si>
  <si>
    <t>არასასურველი სოციალური სტატუსი</t>
  </si>
  <si>
    <t>ასაკი</t>
  </si>
  <si>
    <t>წელი</t>
  </si>
  <si>
    <t>სქესი</t>
  </si>
  <si>
    <t>მამრობითი</t>
  </si>
  <si>
    <t>მდედრობითი</t>
  </si>
  <si>
    <t>თანმხლები დაავადებები</t>
  </si>
  <si>
    <t>ნეოპლასტიური პროცესი</t>
  </si>
  <si>
    <t>ღვიძლის დაავადება</t>
  </si>
  <si>
    <t>გულის შეგუბებითი უკმარისობა</t>
  </si>
  <si>
    <t>ცერებროვასკულური დაავადება</t>
  </si>
  <si>
    <t>თირკმლის დაავადება</t>
  </si>
  <si>
    <t>ფიზიკური კვლევის შედეგები</t>
  </si>
  <si>
    <t>დარღვეული მენტალური სტატუსი</t>
  </si>
  <si>
    <t>სუნთქვის სიხშირე &gt;=30/წთ</t>
  </si>
  <si>
    <t>ლაბორატორიული და რადიოლოგიური კვლევის შედეგები</t>
  </si>
  <si>
    <t>ცნობიერების დარღვევა</t>
  </si>
  <si>
    <t>უკან</t>
  </si>
  <si>
    <t>ემპირიული ანტიბიოტიკოთერაპია ზოგად თერაპიაში</t>
  </si>
  <si>
    <t>საზოგადოებაში შეძენილი პნევმონიის ემპირიული ანტიბიოტიკოთერაპია ზოგად თერაპიულ განყოფილებაში</t>
  </si>
  <si>
    <t>მძიმე ალერგიული რეაქციის ანამნეზი ბეტა-ლაქტამებზე, რაც გამორიცხავს პენიცილინების, ცეფალოსპორინების ან კარბაპენემების გამოყენებას</t>
  </si>
  <si>
    <t>არ არის მძიმე ალერგიული რეაქციის ანამნეზი ბეტა-ლაქტამებზე</t>
  </si>
  <si>
    <t>ალერგიის ანამნეზი</t>
  </si>
  <si>
    <t>MRSA და ფსევდომონას რისკ-ფაქტორები</t>
  </si>
  <si>
    <t>ფსევდომონას რისკ-ფაქტორები</t>
  </si>
  <si>
    <t>MRSA-ს ძლიერი რისკ-ფაქტორი. ემპირიული ანტიბიოტიკოთერაპიის საჭიროება</t>
  </si>
  <si>
    <t>საეჭვო MRSA. შესაძლოა ემპირიული ანტიბიოტიკოთერაპია</t>
  </si>
  <si>
    <t>ფსევდომონას ძლიერი რისკ-ფაქტორი. ემპირიული ანტიბიოტიკოთერაპიის საჭიროება</t>
  </si>
  <si>
    <t>საეჭვო ფსევდომონა. შესაძლოა ემპირიული ანტიბიოტიკოთერაპია</t>
  </si>
  <si>
    <t>ანტი -MRSA აგენტები</t>
  </si>
  <si>
    <t>ამინოგლიკოზიდები</t>
  </si>
  <si>
    <t>* გენტამიცინი</t>
  </si>
  <si>
    <t>* ტობრამიცინი</t>
  </si>
  <si>
    <t>* ამიკაცინი</t>
  </si>
  <si>
    <t>რესპირაციული ფთორქინოლონები</t>
  </si>
  <si>
    <t>* ლევოფლოქსაცინი</t>
  </si>
  <si>
    <t>* მოქსიფლოქსაცინი</t>
  </si>
  <si>
    <t>* გემიფლოქსაცინი</t>
  </si>
  <si>
    <t>ანტიფსევდომონური ფთორქინოლონები</t>
  </si>
  <si>
    <t>* ციპროფლოქსაცინი</t>
  </si>
  <si>
    <t>ანტიფსევდომონური/ანტიპნევმოკოკური ბეტა-ლაქტამები</t>
  </si>
  <si>
    <t>* ლინეზოლიდი</t>
  </si>
  <si>
    <t>* ცეფეპიმი</t>
  </si>
  <si>
    <t>* ცეფტაზიდიმი</t>
  </si>
  <si>
    <t>* იმიპენემი</t>
  </si>
  <si>
    <t>* მეროპენემი</t>
  </si>
  <si>
    <t>ანტიპნევმოკოკური ბეტა-ლაქტამები</t>
  </si>
  <si>
    <t>* ცეფტრიაქსონი</t>
  </si>
  <si>
    <t>* ცეფოტაქსიმი</t>
  </si>
  <si>
    <t>*ცეფტაროლინი (არ არის ეფექტური ფსევდომონას შემთხვევაში)</t>
  </si>
  <si>
    <t>* ერტაპენემი</t>
  </si>
  <si>
    <t>* ამპიცილინ-სულბაქტამი</t>
  </si>
  <si>
    <t>* კლარითრომიცინი</t>
  </si>
  <si>
    <t>* აზიტრომიცინი</t>
  </si>
  <si>
    <t>ანტი-MRSAაგენტი + ლევოფლოქსაცინი + აზტრეონამი + ამინოგლიკოზიდი</t>
  </si>
  <si>
    <t>ლევოფლოქსაცინი + აზტრეონამი + ამინოგლიკოზიდი</t>
  </si>
  <si>
    <t>ანტი-MRSA აგენტი + რესპირაციული ფთორქინოლონი</t>
  </si>
  <si>
    <t>მონოთერაპია რესპირაციული ფთორქინოლონით</t>
  </si>
  <si>
    <t>ანტიფსევდომონური</t>
  </si>
  <si>
    <t>* აზტრეონამი (აზტრეონამის, ლევოფლოქსაცინის და ამინოგლიკოზიდის კომბინაცია არჩევის კომბინაციაა ფსევდომონური ინფექციის შემთხვევაში იმ პაციენტებში, რომელთაც აქვთ ალერგია ბეტა-ლაქტამებზე და რომლებთანაც არ შეიძლება პენიცილინების, ცეფალოსპორინების და კარბაპენებემის გამოყენება. პაციეტებში ცეფტაზიდიმზე მძიმე ალერგიით, არ არის რეკომენდებული აზტრეონამის გამოყენება და გამოიყენება ლევოფლოქსაცინის და ამინოგლიკოზიდის კომბინაცია)</t>
  </si>
  <si>
    <t>ანტიფსევდომონური/ანტიპნევმოკოკური ბეტა ლაქტამი + ანტიფსევდომონური ფთორქინოლონი</t>
  </si>
  <si>
    <t>აირჩიეთ კომბინაციური რჟიმი ანტიპნევმოკოკურ ბეტა-ლაქტამთან ან რესპირაციულ ფთორქინოლონთან</t>
  </si>
  <si>
    <t>ანტი-MRSA აგენტი + ანტიფსევდომონური/ანტიპნევმოკოკური ბეტა ლაქტამი + ანტიფსევდომონური ფთორქინოლონი</t>
  </si>
  <si>
    <t>თუ პაციენტს აქვს მაკროლიდის უკუჩვენება: ანტი-MRSA აგენტი + ანტიპნევმოკოკური ბეტა-ლაქტამი + დოქსიციკლინი</t>
  </si>
  <si>
    <r>
      <t xml:space="preserve">მაკროლიდები - </t>
    </r>
    <r>
      <rPr>
        <b/>
        <sz val="11"/>
        <color rgb="FFFF0000"/>
        <rFont val="Sylfaen"/>
        <family val="1"/>
        <scheme val="minor"/>
      </rPr>
      <t>ახასიათებს QT ინტერვალის პროლონგაცია</t>
    </r>
  </si>
  <si>
    <t>თუ პაციენტს არ აქვს მაკროლიდის უკუჩვენება: ანტი-MRSA აგენტი + ანტიპნევმოკოკური ბეტა-ლაქტამი + მაკროლიდი</t>
  </si>
  <si>
    <t>დოქსიციკლინი არ გამოიყენება ორსულებში!</t>
  </si>
  <si>
    <t>ალტერნატიული რეჟიმი: რესპირაციული ფთორქინოლონი + ანტი-MRSA აგენტი</t>
  </si>
  <si>
    <t>თუ პაციენტს აქვს მაკროლიდის უკუჩვენება: ანტიპნევმოკოკური ბეტა-ლაქტამი + დოქსიციკლინი</t>
  </si>
  <si>
    <t>თუ პაციენტს არ აქვს მაკროლიდის უკუჩვენება: ანტიპნევმოკოკური ბეტა-ლაქტამი + მაკროლიდი</t>
  </si>
  <si>
    <t>ალტერნატიული რეჟიმი: მონოთერაპია სასუნთქი ფთორქინოლონით</t>
  </si>
  <si>
    <t>ამბულატორიული მართვის განსაკუთრებული პრაქტიკული ასპექტები</t>
  </si>
  <si>
    <t>ანამნეზში პენცილინზე რეაქციის მქონე პაციენტის ანტიბიოტიკოთერაპია</t>
  </si>
  <si>
    <t>პენცილინზე ალერგიის მქონე პაციენტის ანტიბიოტიკოთერაპია</t>
  </si>
  <si>
    <t>დააზუსტეთ შემდეგი ანამნეზური მონაცემები პენცილინზე ალერგიის შესახებ:</t>
  </si>
  <si>
    <t>1. ალერგიული რეაქციის აღწერა:</t>
  </si>
  <si>
    <t xml:space="preserve">* &lt;24 სთ ხანგრძლივობის ჭინჭრის ციება/ურტიკარია; </t>
  </si>
  <si>
    <r>
      <rPr>
        <sz val="11"/>
        <color theme="0"/>
        <rFont val="Sylfaen"/>
        <family val="1"/>
        <scheme val="minor"/>
      </rPr>
      <t xml:space="preserve">* </t>
    </r>
    <r>
      <rPr>
        <sz val="11"/>
        <color theme="1"/>
        <rFont val="Sylfaen"/>
        <family val="2"/>
        <charset val="1"/>
        <scheme val="minor"/>
      </rPr>
      <t xml:space="preserve">ტოქსიკური ეპიდერმული ნეკროლიზი ან IV ტიპის მძიმე რექაცია); </t>
    </r>
  </si>
  <si>
    <t>* რესპირაციული ან ჰემოდინამიკური კომპრომისი (ანაფილაქსია);</t>
  </si>
  <si>
    <t xml:space="preserve">* ტუჩებზე, პირში, თვალებზე, ურეთრის მიმდებარედ, ვაგინალურად ბლისტერები ან წყლულები (სტივენ-ჯონსონის სინდრომი,   </t>
  </si>
  <si>
    <t xml:space="preserve">* მულტიორგანული (მაგ., ღვიძლი, თირკმლები) დაზიანება (DRESS: მედიკამენტური გამონაყარი ეოზინოფილიით და სისტემური </t>
  </si>
  <si>
    <r>
      <rPr>
        <sz val="11"/>
        <color theme="0"/>
        <rFont val="Sylfaen"/>
        <family val="1"/>
        <scheme val="minor"/>
      </rPr>
      <t>*</t>
    </r>
    <r>
      <rPr>
        <sz val="11"/>
        <color theme="1"/>
        <rFont val="Sylfaen"/>
        <family val="2"/>
        <charset val="1"/>
        <scheme val="minor"/>
      </rPr>
      <t xml:space="preserve"> სიმპტომებით ან IV ტიპის მძიმე რექაცია).  </t>
    </r>
  </si>
  <si>
    <t xml:space="preserve">2. პენიცილინის რომელ დოზაზე და დოზიდან რამდენ ხანში განვითარდა რეაქცია? </t>
  </si>
  <si>
    <t>3. რა დროა გასული პენიცილინზე რეაქციის განვითარებიდან? (10-წლიანი ინტერვალის შემდეგ, IgE-გაშუალებული პენიცილინის ალერგიის</t>
  </si>
  <si>
    <r>
      <rPr>
        <sz val="11"/>
        <color theme="0"/>
        <rFont val="Sylfaen"/>
        <family val="1"/>
        <scheme val="minor"/>
      </rPr>
      <t xml:space="preserve">3. </t>
    </r>
    <r>
      <rPr>
        <sz val="11"/>
        <color theme="1"/>
        <rFont val="Sylfaen"/>
        <family val="2"/>
        <charset val="1"/>
        <scheme val="minor"/>
      </rPr>
      <t>მქონე პაციენტთა მხოლოდ 20% რჩება კვლავ ალერგიული);</t>
    </r>
  </si>
  <si>
    <t>4. როგორ მართეს ალერგიული რეაქცია? საჭირო გახდა თუ არა ინტენსიური თერაპია ან ადრენალინის/ნორადრენალინის გამოყენება?</t>
  </si>
  <si>
    <t>5. პენცილინზე ალერგიის შემდეგ გამოყენებული აქვს თუ არა პაციენტს ამპიცილინი, ამოქსიცილინი ან ცეფალექსინი?</t>
  </si>
  <si>
    <r>
      <rPr>
        <b/>
        <sz val="11"/>
        <color theme="1"/>
        <rFont val="Sylfaen"/>
        <family val="1"/>
        <scheme val="minor"/>
      </rPr>
      <t>თუ პაციენტს არ აღენიშნებოდა ზემოთ ჩამოთვლილი ნიშნებიდან არცერთი და ჰქონდა გულისრევა/ღებინება, დიარეა, სოკოვანი ვაგინიტი და ა.შ., ანუ გვერდითი მოვლენები ან პაციენტს არასოდეს გამოუყენებია პენიცილინი, მაგრამ პენიცილინზე ალერგია აქვს ოჯახის წევრს,</t>
    </r>
    <r>
      <rPr>
        <sz val="11"/>
        <color theme="1"/>
        <rFont val="Sylfaen"/>
        <family val="2"/>
        <charset val="1"/>
        <scheme val="minor"/>
      </rPr>
      <t xml:space="preserve"> </t>
    </r>
    <r>
      <rPr>
        <b/>
        <u/>
        <sz val="11"/>
        <color theme="9" tint="-0.249977111117893"/>
        <rFont val="Sylfaen"/>
        <family val="1"/>
        <scheme val="minor"/>
      </rPr>
      <t>შესაძლებელია პანიცილინის გამოყენება</t>
    </r>
  </si>
  <si>
    <r>
      <t xml:space="preserve">თუ პაციენტს აღენიშნებოდა დაყოვნებული რეაქციის მძიმე ტიპი (ტიპი II, III ან IV: სტივენ-ჯონსონის სინდრომი, ტოქსიკური ეპიდერმული ნეკროლიზი, მწვავე ინტერსტიციული ნეფრიტი, მედიკამენტური ჰეპატიტი ან სხვა ორგანოს დოკუმენტური დაზიანება, DRESS ანუ მედიკამენტური ჰიერმგრძნობელობის სინდრომი [DiHS], ჰემოლიზური ანემია, მედიკამენტური ციტოპენია, ან შრატისმიერი დაავადება), </t>
    </r>
    <r>
      <rPr>
        <b/>
        <u/>
        <sz val="11"/>
        <color theme="9" tint="-0.249977111117893"/>
        <rFont val="Sylfaen"/>
        <family val="1"/>
        <scheme val="minor"/>
      </rPr>
      <t>გამოიყენეთ აზტერონამი ან არაბეტა-ლაქტამები</t>
    </r>
    <r>
      <rPr>
        <b/>
        <u/>
        <sz val="11"/>
        <color theme="1"/>
        <rFont val="Sylfaen"/>
        <family val="1"/>
        <scheme val="minor"/>
      </rPr>
      <t xml:space="preserve">. </t>
    </r>
    <r>
      <rPr>
        <b/>
        <u/>
        <sz val="11"/>
        <color rgb="FFFF0000"/>
        <rFont val="Sylfaen"/>
        <family val="1"/>
        <scheme val="minor"/>
      </rPr>
      <t>არ გამოიყენოთ: პენიცილინები, ცეფალოსპორინები და კარბაპენემები.</t>
    </r>
  </si>
  <si>
    <r>
      <t xml:space="preserve">თუ აღინიშნებოდა მსუბუქი, IgE-გაშუალებილი დაზიანების ნიშნების (მაკულოპაპულური გამონაყარი ქავილით ან მის გარეშე) გარეშე მიმდინარე რეაქცია, არსებობს IgE-გაშუალებული მძიმე რეაქციის მინიმალური რისკი და </t>
    </r>
    <r>
      <rPr>
        <b/>
        <u/>
        <sz val="11"/>
        <color theme="9" tint="-0.249977111117893"/>
        <rFont val="Sylfaen"/>
        <family val="1"/>
        <scheme val="minor"/>
      </rPr>
      <t>შეგიძლიათ გამოიყენოთ მესამე, მეოთხე ან მეხუთე თაობის ცეფალოსპორინები, კარბაპენემი, აზტრეონამი ან არაბეტა-ლაქტამური ანიბიოტიკი</t>
    </r>
    <r>
      <rPr>
        <b/>
        <u/>
        <sz val="11"/>
        <color theme="1"/>
        <rFont val="Sylfaen"/>
        <family val="1"/>
        <scheme val="minor"/>
      </rPr>
      <t xml:space="preserve">. </t>
    </r>
    <r>
      <rPr>
        <b/>
        <u/>
        <sz val="11"/>
        <color theme="5"/>
        <rFont val="Sylfaen"/>
        <family val="1"/>
        <scheme val="minor"/>
      </rPr>
      <t>შესაძლებელია პენიცილინის ან პირველი/მეორე თაობის ცეფალოსპორინის გამოყენება სატესტო დოზის პროცედურით.</t>
    </r>
  </si>
  <si>
    <r>
      <rPr>
        <b/>
        <sz val="11"/>
        <color theme="1"/>
        <rFont val="Sylfaen"/>
        <family val="1"/>
        <scheme val="minor"/>
      </rPr>
      <t xml:space="preserve">თუ გადატანილი რეაქცია ატარებდა IgE-გაშუალებულ ხასიათს (ანაფილაქსია, ანგიოედემა, ვიზინგი, ხორხის შეშუპება, ჰიპოტენზია ან ჭინჭრის ციება/ურტიკარია) არსებობს IgE-გაშუალებული მძიმე რეაქციის განსაზღვრული რისკი და </t>
    </r>
    <r>
      <rPr>
        <b/>
        <u/>
        <sz val="11"/>
        <color theme="5"/>
        <rFont val="Sylfaen"/>
        <family val="1"/>
        <scheme val="minor"/>
      </rPr>
      <t>შეგიძლიათ გამოიყენოთ მესამე, მეოთხე ან მეხუთე თაობის ცეფალოსპორინები ან კარბაპენები სატესტო დოზის პროცედურით. ალტერნატივას წარმოადგენს აზტრეონამი ან არაბეტა-ლაქტამური ანტიბიოტიკი.</t>
    </r>
    <r>
      <rPr>
        <sz val="11"/>
        <color theme="1"/>
        <rFont val="Sylfaen"/>
        <family val="2"/>
        <charset val="1"/>
        <scheme val="minor"/>
      </rPr>
      <t xml:space="preserve"> </t>
    </r>
  </si>
  <si>
    <t>ემპირიული ანტიბიოტიკოთერაპია ინტენსიურ თერაპიასა და რეანიმაციაში</t>
  </si>
  <si>
    <t>საზოგადოებაში შეძენილი პნევმონიის ემპირიული ანტიბიოტიკოთერაპია ინტენსიურ თერაპიასა და რეანიმაციაში</t>
  </si>
  <si>
    <t>ანტი-MRSA აგენტი + რესპირაციული ფთორქინოლონი + აზტრეონამი</t>
  </si>
  <si>
    <t>რესპირაციული ფთორქინოლონი + აზტრეონამი</t>
  </si>
  <si>
    <t>პირველადი არჩევანი: ანტიპნევმოკოკური ბეტა-ლაქტამი + მაკროლიდი</t>
  </si>
  <si>
    <t>ალტერნატიული რეჟიმი: ანტიპნევმოკოკური ბეტა-ლაქტამი + სასუნთქი ფთორქინოლონი</t>
  </si>
  <si>
    <t>პირველადი არჩევანი: ანტი-MRSA აგენტი + ანტიპნევმოკოკური ბეტა ლაქტამი + მაკროლიდი</t>
  </si>
  <si>
    <t>ალტერნატიული რეჟიმი: ანტი-MRSA აგენტი + ანტიპნევმოკოკური ბეტა-ლაქტამი + რესპირაციული ფთორქინოლონი</t>
  </si>
  <si>
    <t>ამბულატორიული ემპირიული ანტიბიოტიკოთერაპია</t>
  </si>
  <si>
    <t>საზოგადოებაში შეძენილი პნევმონიის ემპირიული ამბულატორიული ანტიბიოტიკოთერაპია</t>
  </si>
  <si>
    <t>გულის ქრონიკული დაავადება</t>
  </si>
  <si>
    <t>თირკმლის ქრონიკული დაავადება</t>
  </si>
  <si>
    <t>ღვიძლის ქრონიკული დაავადება</t>
  </si>
  <si>
    <t>შაქრიანი დიაბეტი</t>
  </si>
  <si>
    <t>ასპლენია</t>
  </si>
  <si>
    <t>იმუნოსუპრესია</t>
  </si>
  <si>
    <t>ქრონიკული რესპირაციული პათოლოგია</t>
  </si>
  <si>
    <t>აქტიური ონკოლოგიური პათოლოგია</t>
  </si>
  <si>
    <t>არა კომორბიდობა</t>
  </si>
  <si>
    <t>კომორბიდობა</t>
  </si>
  <si>
    <t>მსუბუქი, არა-IgE-გაშუალებული რეაქციის (მაგ., მაკულოპაპულური გამონაყარი) შემთხვევაში შესაძლებელია მესამე თაობის ცეფალოსპორინი + მაკროლიდი (პირველადი არჩევანი) ან დოქსიციკლინი (ალტერნატივა)</t>
  </si>
  <si>
    <t>* სტრუქტურული რესპირაციული დაავადების შემთხვევაში რეკომენდებულია სასუნთქი ფთორქინოლონი.</t>
  </si>
  <si>
    <t>* სტრუქტურული რესპირაციული დაავადების არარსებობის შემთხვევაში შესაძლებელია რესპირაციული ფთორქინოლონის ან ლეფამულინის გამოყენება</t>
  </si>
  <si>
    <t>ამოქსიცილინ კლავულანატი + მაკროლიდი (პირველადი არჩევანი) ან დოქსიციკლინი (ალტერნატივა)</t>
  </si>
  <si>
    <t>კლასი</t>
  </si>
  <si>
    <t>ანტიბიოტიკი</t>
  </si>
  <si>
    <t>ორალური დოზა</t>
  </si>
  <si>
    <t>პენიცილინი</t>
  </si>
  <si>
    <t>ამოქსიცილინი</t>
  </si>
  <si>
    <t>1გ დღეში სამჯერ</t>
  </si>
  <si>
    <t>ამოქსიცილინ-კლავულანატი</t>
  </si>
  <si>
    <t>875 მგ დღეში ორჯერ</t>
  </si>
  <si>
    <t>ცეფპოდოქსიმი (მესამე თაობა)</t>
  </si>
  <si>
    <t>ცეფდიტორენი (მესამე თაობა)</t>
  </si>
  <si>
    <t>200 მგ დღეში ორჯერ</t>
  </si>
  <si>
    <t>400 მგ დღეში ორჯერ</t>
  </si>
  <si>
    <t>გაფართოებული სპექტრის ბეტა-ლაქტამები</t>
  </si>
  <si>
    <t>კლარითრომიცინი</t>
  </si>
  <si>
    <t>აზითრომიცინი</t>
  </si>
  <si>
    <t>პირველი დღე 500 მგ/დღ, შემდგომი დღეები 250 მგ/დღ</t>
  </si>
  <si>
    <t>2000 მგ (გახანგძლივებული გამოთავისუფლების) დღეში ორჯერ</t>
  </si>
  <si>
    <t>500 მგ დღეში ორჯერ ან 1000 მგ (ER) დღში ერთჯერ</t>
  </si>
  <si>
    <t>მაკროლიდები</t>
  </si>
  <si>
    <t>ტეტრაციკლინები</t>
  </si>
  <si>
    <t>დოქსიციკლინი</t>
  </si>
  <si>
    <t>100 მგ დღეში ორჯერ</t>
  </si>
  <si>
    <t>ლევოფლოქსაცინი</t>
  </si>
  <si>
    <t>მოქსიფლოქსაცინი</t>
  </si>
  <si>
    <t>გემოფლოქსაცინი</t>
  </si>
  <si>
    <t>750 მგ დღეში ერთხელ</t>
  </si>
  <si>
    <t>400 მგ დღეში ერთხელ</t>
  </si>
  <si>
    <t>320 მგ დღეში ერთხელ</t>
  </si>
  <si>
    <t>პლევრომუტილინი</t>
  </si>
  <si>
    <t>ლეფამულინი</t>
  </si>
  <si>
    <t>600 მგ დღეში ორჯერ</t>
  </si>
  <si>
    <t>მკურნალობის საშუალო ხანგრძლივობა 5 დღე</t>
  </si>
  <si>
    <t>ინტრავენური ანტიბიოტიკოთერაპიიდან ორალურზე გადაყვანა</t>
  </si>
  <si>
    <t xml:space="preserve">წილოვანი პნევმონიის შემთხვევაში შესაძლებელია ცხელების პერსისტირება. პნევმოკოკური პნევმონიის შემთხვევაში ხველა შეიძლება გაგრძელდეს კვირის განმავლობაში. რადიოლოგიური ცვლილებები, როგორც წესი, ლაგდება 4 კვირის განმავლობაში, თუმცა ხანდაზმულ პაციენტებში ან რესპირაციული პათოლოგიის ფონზე შესაძლებელია გაგრძელდეს 12 კვირის განმავლობაშიც. </t>
  </si>
  <si>
    <t>* კლინიკური გაუმჯობესება</t>
  </si>
  <si>
    <t>* ჰემდინამიკური სტაბილობა</t>
  </si>
  <si>
    <t>ორალურ თერაპიაზე გადართვის კრიტერიუმები:</t>
  </si>
  <si>
    <t>* პერორალური მიღების შესაძლებლობა</t>
  </si>
  <si>
    <t>* ცხელების, რესპირაციული სტატუსის და ლეიკოციტოზის ნორმალიზაცია</t>
  </si>
  <si>
    <t>კი</t>
  </si>
  <si>
    <t xml:space="preserve">აკმაყოფილებს თუ არა პაციენტი ზემოთ ჩამოთვლილ კრიტგერიუმებს? </t>
  </si>
  <si>
    <t>გაურთულებელი პნევმონიის ანტიბიოტიკოთერაპიის ხანგრძლივობა</t>
  </si>
  <si>
    <t>ანტიბიოტიკოთერაპიის ეფექტურობა და გართულებების (მაგ., პარაპნევმონიური გამონადენი, ემპიემა, ფილტვის აბსცესი, ბაქტერიემია) არარსებობა</t>
  </si>
  <si>
    <t xml:space="preserve">არის თუა არა მეთიცილინ-რეზისტენტული Staphylococcus aureus პნევმონია? </t>
  </si>
  <si>
    <t xml:space="preserve">კი </t>
  </si>
  <si>
    <t>კლინიკურად სტაბილურ პაციენტებში ანტიბიოტიკოთერაპიის შეწყვეტა პროკალციტონინის მაჩვენებლის მიხედვით</t>
  </si>
  <si>
    <t>* გაიმეორეთ პროკალციტონინის ანალიზი 1-2 დღიანი ინტერვალით;</t>
  </si>
  <si>
    <t>პროკალციტონინის კონცენტრაცია</t>
  </si>
  <si>
    <t>ნგ/მლ</t>
  </si>
  <si>
    <t xml:space="preserve">* რა არის ყველაზე სავარაუდო დიაგნოზი?  </t>
  </si>
  <si>
    <t>ვირუსული პნევმონია</t>
  </si>
  <si>
    <t>ბაქტერიული პნევმონია</t>
  </si>
  <si>
    <t>არაინფექციური ფაქტორი</t>
  </si>
  <si>
    <t xml:space="preserve">ანტიბიოტიკოთერაპიის შეწყვეტისთვის პროკალციტონინის ეფექტრური ქვედა ზღურბლი არ არის დაზუსტებული. ზოგიერთი ავტორის მიხედვით უნდა ავიღოთ 0.1 ნგ/მლ-იანი ზღურბლი.  </t>
  </si>
  <si>
    <t>განმეორებითი პროკალციტონინი</t>
  </si>
  <si>
    <t>იმუნოკომპეტენტური პაციენტის ფოლოუაპი</t>
  </si>
  <si>
    <t>გაუმჯობესებული</t>
  </si>
  <si>
    <t>სტაბილური</t>
  </si>
  <si>
    <t>გაუარესებული</t>
  </si>
  <si>
    <t>როგორია პაციენტის მდგომარეობა ემპირიული ანტიბიოტკოთერაპიის დაწყებიდან 48-72 საათის შემდეგ?</t>
  </si>
  <si>
    <t>იმუნოკომპეტენტური პაციენტის ფოლოუაპ რადიოგრაფია</t>
  </si>
  <si>
    <t>* იყო თუ არა ინიციალურ რადიოგრაფიაზე ფილტვის სიმსივნეზე საეჭვო შემდეგი ცვლილება ან ცვლილებები?</t>
  </si>
  <si>
    <t>** ახალი მასა ან კვანძი;</t>
  </si>
  <si>
    <t>** კარის ან შუასაყრის ლიმფადენოპათია;</t>
  </si>
  <si>
    <t xml:space="preserve">** პოსტობსტრუქციული პნევმონიის ნიშნები </t>
  </si>
  <si>
    <t>* პაციენტის მდგომარეობა მკვეთრად გაუმჯობესა მკურნალობის დაწყებიდან 5-7 დღის განმავლობაში;</t>
  </si>
  <si>
    <t>რეკომენდებული ანტიმიკრობული რეჟიმები</t>
  </si>
  <si>
    <t>პათოგენი</t>
  </si>
  <si>
    <t>Mycoplasma pneumoniae/Chlamydophila pneumoniae</t>
  </si>
  <si>
    <t>Legionella species</t>
  </si>
  <si>
    <t>Chlamydophila psittaci</t>
  </si>
  <si>
    <t>Coxiella burnetii</t>
  </si>
  <si>
    <t>Francisella tularensis</t>
  </si>
  <si>
    <t>Yersinia pestis</t>
  </si>
  <si>
    <t>Bacillus anthracis (inhalation)</t>
  </si>
  <si>
    <t>Enterobacteriaceae</t>
  </si>
  <si>
    <t>Pseudomonas aeruginosa</t>
  </si>
  <si>
    <t>Burkholderia pseudomallei</t>
  </si>
  <si>
    <t>Acinetobacter species</t>
  </si>
  <si>
    <t>Staphylococcus aureus Methicillin susceptible</t>
  </si>
  <si>
    <t>Staphylococcus aureus Methicillin resistant</t>
  </si>
  <si>
    <t>Bordetella pertussis</t>
  </si>
  <si>
    <t>Anaerobe (aspiration)</t>
  </si>
  <si>
    <t>Influenza virus</t>
  </si>
  <si>
    <t>Mycobacterium tuberculosis</t>
  </si>
  <si>
    <t>Histoplasmosis</t>
  </si>
  <si>
    <t>Blastomycosis</t>
  </si>
  <si>
    <t>Streptococcus pneumoniae MIC &lt;2 mcg/mL</t>
  </si>
  <si>
    <t>პენიცილინ G, ამოქსიცილინი</t>
  </si>
  <si>
    <t>მაკროლიდები, ცეფალოსპორინები (ორალური: ცეფპოდოქსიმი, ცეფპროზილი, ცეფუროქსიმი, ცეფდინირი; ან პარენტერალური: ცეფუროქსიმი, ცეფტრიაქსონი, ცეფოტაქსიმი), კლინდამიცინი, დოქსიციკლინი, სასუნთქი ფთორქინოლონები (ლევოფლოქსაცინი, მქსიფლოქსაცინი, გემიფლოქსაცინი უპრიანია პენიცილინმგრძნობიარე შტამების წინააღმდეგ. ციპროფლოქსაცინი - ლეგიონელოზის და გრამუარყოფითი ბაცილების (H. influenzae-ს ჩათვლით) წინააღმდეგ.</t>
  </si>
  <si>
    <t>ცეფოტაქსიმი, ცეფტრიაქსონი, ფთორქინოლონი</t>
  </si>
  <si>
    <t>ვანკომიცინი, ლინეზოლიდი, მაღალი დოზით ამოქსიცილინი (3 გ დღეში პენიცილინის MIC ≤4 მკგ/მლ-თან ერთად)</t>
  </si>
  <si>
    <t>Haemophilus influenzae Non-beta-lactamase producing</t>
  </si>
  <si>
    <t>Haemophilus influenzae Beta-lactamase producing</t>
  </si>
  <si>
    <t>მეორე ან მესამე თაობის ცეფალოსპორინი, ამოქსიცილინ კლავულანატი</t>
  </si>
  <si>
    <t>ფთორქინოლონი, დოქსიციკლინი, აზითრომიცინი, კლარითრომიცინი. H. influenzae-ს შემთხვევაში აზითრომიცინი უფრო აქტიურია in vitro, ვიდრე კლარითრომიცინი.</t>
  </si>
  <si>
    <t>მაკროლიდი, ტეტრაციკლინი</t>
  </si>
  <si>
    <t>ფთორქინოლონი</t>
  </si>
  <si>
    <t>ფთორქინოლონი, აზიტრომიცინი</t>
  </si>
  <si>
    <t>ტეტრაციკლინი</t>
  </si>
  <si>
    <t>მაკროლიდი</t>
  </si>
  <si>
    <t>გენტამიცინი, სტრეპტომცინი</t>
  </si>
  <si>
    <t>სტრეპტომიცინი, გენტამიცინი</t>
  </si>
  <si>
    <t>დოქსიციკლინი, ფთორქინოლონი</t>
  </si>
  <si>
    <t>ციპროფლოქსაცინი, ლევოფლოქსაცინი, დოქსიციკლინი</t>
  </si>
  <si>
    <t>სხვა ფთორქინოლონი, ბეტა-ლაქტამი, რიფამპინი, კლინდამიცინი, ქლორამფენიკოლი</t>
  </si>
  <si>
    <t>ბეტა-ლაქტამ-ბეტა-ლაქტამაზ ინჰიბიტორი (პიპერაცილინ-ტაზობაქტამი, ამპიცილინ-სულბაქტამი, ტიკარცილინ-კლავულანატი ან ამოქსიცილინ-კლავულანატი)</t>
  </si>
  <si>
    <t>მესამე თაობის ცეფალოსპორინი, კარბაპენემი (იმიპენემ ცილასტატინი, მეროპენემი, ერტაპენემი)</t>
  </si>
  <si>
    <t>ამინოგლიკოზიდი პლუს ციპროფლოქსაცინი ან ლევოფლოქსაცინი (750 მგ/დღ)</t>
  </si>
  <si>
    <t>ანტიფსევდომონური ბეტა-ლაქტამი (ცეფტაზიდიმი, ცეფეპიმი, აზტრეონამი, იმიპენემი, მეროპენემი, პიპერაცილინი) პლუს ციპროფლოქსაცინი ან ლევოფლოქსაცინი [750 მგ/დღ], ან ამინოგლიკოზიდი</t>
  </si>
  <si>
    <t>კარბაპენემი</t>
  </si>
  <si>
    <t>კარბაპენემი, ცეფტაზიდიმი</t>
  </si>
  <si>
    <t>ფთორქინოლონი, ტრიმეთოპრიმ/სულფომეტოქსაზოლი</t>
  </si>
  <si>
    <t>ცეფალოსპორინი-ამინოგლიკოზიდი, ამპიცილინ-სულბაქტამი, კოლისტინი</t>
  </si>
  <si>
    <t>ანტისტრეპტოკოკული პენიცილინი (ნაფცილინი, ოქსაცილინი, ფლუკლოქსაცილინი)</t>
  </si>
  <si>
    <t>ცეფაზოლინი, კლინდამიცინი</t>
  </si>
  <si>
    <t>ვანკომიცინი ან ლინეზოლიდი</t>
  </si>
  <si>
    <t>ტრიმეთოპრიმ-სულფომეტოქსაზოლი</t>
  </si>
  <si>
    <t>ბეტა-ლაქტამ-ბეტა-ლაქტამაზ ინჰიბიტორი (პიპერაცილინ-ტაზობაქტამი, ამპიცილინ-სულბაქტამი, ტიკარცილინ-კლავულანატი ან ამოქსიცილინ-კლავულანატი), კლინდმიცინი</t>
  </si>
  <si>
    <t>იზონიაზიდი + რიფამპინი + ეთამბუტოლი + პირაზინამიდი</t>
  </si>
  <si>
    <t>გაურთულებელ შემთხვევას არ ჭირდება მკურნალობა. რეკომენდებულია იტრაკონაზოლი, ფლუკონაზოლი</t>
  </si>
  <si>
    <t>ამფოტერიცინ B</t>
  </si>
  <si>
    <t>იტრაკონაზოლი</t>
  </si>
  <si>
    <t>ანტივირუსული თერაპია დამოკიდებულია ინფლუენცას ტიპზე</t>
  </si>
  <si>
    <r>
      <t>Coccidioides</t>
    </r>
    <r>
      <rPr>
        <sz val="11"/>
        <color theme="0"/>
        <rFont val="Noto Sans"/>
        <family val="2"/>
      </rPr>
      <t> species</t>
    </r>
  </si>
  <si>
    <r>
      <t>Streptococcus pneumoniae MIC</t>
    </r>
    <r>
      <rPr>
        <sz val="11"/>
        <color theme="0"/>
        <rFont val="Sylfaen"/>
        <family val="1"/>
      </rPr>
      <t>≥</t>
    </r>
    <r>
      <rPr>
        <sz val="11"/>
        <color theme="0"/>
        <rFont val="Calibri"/>
        <family val="2"/>
      </rPr>
      <t>2 mcg/mL</t>
    </r>
  </si>
  <si>
    <t>www.uptodate.com © 2023 UpToDate, Inc. and/or its affiliates. All Rights Reserved.</t>
  </si>
  <si>
    <t>Thomas M File, Jr, MD</t>
  </si>
  <si>
    <t>Literature review current through: Jun 2023.</t>
  </si>
  <si>
    <t>This topic last updated: Apr 13, 2023.</t>
  </si>
  <si>
    <t>ზრდასრულთა საზოგადოებაში შეძენილი პნევმონიის ანტიმიკრობული თერაპია სტაციონარში</t>
  </si>
  <si>
    <t>←</t>
  </si>
  <si>
    <t>Treatment of Community-Acquired Pneumonia in Adults who Require Hospitalization</t>
  </si>
  <si>
    <t>ელექტრონული ვერსიის ავტორი: პროფ. კახაბერ ჭელიძე . 2023</t>
  </si>
  <si>
    <t>სისხლის კულტურა, ნახველის ან ბრონქოალვეოლური ლავაჟის კულტურა, შარდის პნევმოკოკური ანტიგენის ტესტი, ლეგიონელას ტესტი, რესპირაციული ვირუსების (გრიპის და SASRS-CoV-2-ის ჩათვლით) ტესტები, გულმკერდის კომპიუტერული ტომოგრაფია. განიხილეთ დეკომპენსაციის არაინფექციური მიზეზებიც (მაგ., მიოკარდიუმის ინფარქტი, არითმია და ა.შ.)</t>
  </si>
  <si>
    <t>პროკალციტონინი არ არის კარგად შესწავლილი იმუნოკომპრომისულ პაციენტებში, ტრავმის ან ქირურგიის დროს, ორსულობის, ცისტური ფიბროზის და თირკმლების ქრონიკული დაავადების შემთხვევაში. ამიტომ, ასეთი ტიპის პაციენტებში არ არის რეკომენდებული წინამდებარე ალგორითმით სარგებლობა.</t>
  </si>
  <si>
    <t>მაკროლიდები არ გამოიყენოთ QTc პროლონგაციის ან QTc-ს პროლონგაციის რისკ-ფაქტორების (ჰიპოკალემია, ჰიპომაგნემია, კლინიკურად მნიშვნელოვანი ბრადიკარდია ან სხვა QT-პროლონგატორი აგენტების გამოყენება)</t>
  </si>
  <si>
    <t xml:space="preserve">მძიმე, IgE-გაშუალებული (ჭინჭრის ციება, ანგიოედემა, ანაფილაქსია) და მძიმე დაყოვნებული რეაქციის შემთხვევაში არ გამოიყენოთ ცეფალოსპორინები. ანტიბიოტიკოთერაპიული არჩევანი დამოკიდებულია ფილტვის სტრუქტურული დაავადების (მაგ., ქფოდ) არსებობაზე: </t>
  </si>
  <si>
    <t>მძიმე, IgE-გაშუალებული (ჭინჭრის ციება, ანგიოედემა, ანაფილაქსია) და მძიმე დაყოვნებული რეაქციის შემთხვევაში არ გამოიყენოთ ცეფალოსპორინები. რეკომენდებულია სასუნთქი ფთორქინოლონი ან ლეფამულინი.</t>
  </si>
  <si>
    <t>* ვანკომიცინი (კომბინაცია პიპერაცილინ-ტაქობაქტამთან ზრდის თირკმლის მწვავე დაზიანების რისკს. ანტი-MRSA აგენტი და ანტიფსევდომონურის/ანტიპნევმოკოკური ბეტა-ლაქტამის კომბინაციის საჭიროების შემთხვევაში, პიპერაცილინ-ტაზობაქტამის ნაცვლად უპირატესობა ენიჭება ცეფეპიმს ანდ ცეფტაზიდიმს; ხოლო პიპერაცილინ-ტაზობაქტამზე არჩევანის შეჩერების შემთხვევაში, კომბინაცია უნდა გაკეთდეს ლინეზოლიდთან და არა ვანკომიცინთან)</t>
  </si>
  <si>
    <t>* ვანკომიცინი (კომბინაცია პიპერაცილინ-ტაქობაქტამთან ზრდის თირკმლის მწვავე დაზიანების რისკს. ანტი-MRSA აგენტი და ანტიფსევდომონური/ანტიპნევმოკოკური ბეტა-ლაქტამის კომბინაციის საჭიროების შემთხვევაში, პიპერაცილინ-ტაზობაქტამის ნაცვლად უპირატესობა ენიჭება ცეფეპიმს ანდ ცეფტაზიდიმს; ხოლო პიპერაცილინ-ტაზობაქტამზე არჩევანის შეჩერების შემთხვევაში, კომბინაცია უნდა გაკეთდეს ლინეზოლიდთან და არა ვანკომიცინთან)</t>
  </si>
  <si>
    <t>* პიპერაცილინ-ტაზობაქტამი (კომბინაცია ვანკომიცინთან ზრდის თორკმლის მწვავე დაზიანების რისკს. ანტი-MRSA აგენტი და ანტიფსევდომონური/ანტიპნევმოკოკური ბეტა-ლაქტამის კომბინაციის საჭიროების შემთხვევაში, პიპერაცილინ-ტაზობაქტამის ნაცვლად უპირატესობა ენიჭება ცეფეპიმს ანდ ცეფტაზიდიმს; ხოლო პიპერაცილინ-ტაზობაქტამზე არჩევანის შეჩერების შემთხვევაში, კომბინაცია უნდა გაკეთდეს ლინეზოლიდთან და არა ვანკომიცინთან)</t>
  </si>
  <si>
    <t>* ტუჩების, ენის, თვალების, სახის შეშუპება (ანგიოედემა);</t>
  </si>
  <si>
    <t>* სახსრების ტკივილი (შრატისმიერი დაავადება);</t>
  </si>
  <si>
    <t>* პიპერაცილინ-ტაზობაქტამი (კომბინაცია ვანკომიცინთან ზრდის თირკმლის მწვავე დაზიანების რისკს. ანტი-MRSA აგენტი და ანტიფსევდომონურის/ანტიპნევმოკოკური ბეტა-ლაქტამის კომბინაციის საჭიროების შემთხვევაში, პიპერაცილინ-ტაზობაქტამის ნაცვლად უპირატესობა ენიჭება ცეფეპიმს ანდ ცეფტაზიდიმს; ხოლო პიპერაცილინ-ტაზობაქტამზე არჩევანის შეჩერების შემთხვევაში, კომბინაცია უნდა გაკეთდეს ლინეზოლიდთან და არა ვანკომიცინთან)</t>
  </si>
  <si>
    <t>სისტოლური წნევა &lt;90 mmHg</t>
  </si>
  <si>
    <t>მოხულცებულთა სახლის რეზიდენტი</t>
  </si>
  <si>
    <t>ზრდასრულთა საზოგადოებაში შეძენილი პნევმონიის სიმძიმს ინდექსი (PSI)</t>
  </si>
  <si>
    <r>
      <t xml:space="preserve">არტერიული  </t>
    </r>
    <r>
      <rPr>
        <sz val="12"/>
        <rFont val="Calibri"/>
        <family val="2"/>
      </rPr>
      <t>pH&lt;7.35</t>
    </r>
  </si>
  <si>
    <r>
      <t>შარდოვანა აზოტი &gt;=</t>
    </r>
    <r>
      <rPr>
        <sz val="12"/>
        <rFont val="Calibri"/>
        <family val="2"/>
      </rPr>
      <t xml:space="preserve">30 მგ/დლ </t>
    </r>
    <r>
      <rPr>
        <sz val="11"/>
        <rFont val="Calibri"/>
        <family val="2"/>
      </rPr>
      <t xml:space="preserve"> </t>
    </r>
    <r>
      <rPr>
        <sz val="12"/>
        <rFont val="Calibri"/>
        <family val="2"/>
      </rPr>
      <t>(11 მმოლ/ლ)</t>
    </r>
  </si>
  <si>
    <t>ნატრიუმი &lt;130 მექ/ლ</t>
  </si>
  <si>
    <r>
      <t>გლუკოზა</t>
    </r>
    <r>
      <rPr>
        <sz val="14"/>
        <rFont val="Calibri"/>
        <family val="2"/>
      </rPr>
      <t xml:space="preserve"> </t>
    </r>
    <r>
      <rPr>
        <sz val="11"/>
        <rFont val="Calibri"/>
        <family val="2"/>
      </rPr>
      <t xml:space="preserve"> </t>
    </r>
    <r>
      <rPr>
        <sz val="12"/>
        <rFont val="Calibri"/>
        <family val="2"/>
      </rPr>
      <t>&gt;= 250 მგ/დლ (14 მმოლ/ლ)</t>
    </r>
  </si>
  <si>
    <t>PaO2&lt;60 mmHg ან &lt;8kPa</t>
  </si>
  <si>
    <t>პლევრული გამონადენი</t>
  </si>
  <si>
    <t>ჰემატოკრიტი &lt;30%</t>
  </si>
  <si>
    <r>
      <t xml:space="preserve">ტემპერატურა </t>
    </r>
    <r>
      <rPr>
        <sz val="12"/>
        <rFont val="Calibri"/>
        <family val="2"/>
      </rPr>
      <t>&lt;35C</t>
    </r>
    <r>
      <rPr>
        <sz val="14"/>
        <rFont val="Calibri"/>
        <family val="2"/>
      </rPr>
      <t xml:space="preserve"> </t>
    </r>
    <r>
      <rPr>
        <sz val="11"/>
        <rFont val="Calibri"/>
        <family val="2"/>
      </rPr>
      <t>an</t>
    </r>
    <r>
      <rPr>
        <sz val="14"/>
        <rFont val="Calibri"/>
        <family val="2"/>
      </rPr>
      <t xml:space="preserve"> </t>
    </r>
    <r>
      <rPr>
        <sz val="11"/>
        <rFont val="Calibri"/>
        <family val="2"/>
      </rPr>
      <t xml:space="preserve"> </t>
    </r>
    <r>
      <rPr>
        <sz val="12"/>
        <rFont val="Calibri"/>
        <family val="2"/>
      </rPr>
      <t>&gt;40C</t>
    </r>
  </si>
  <si>
    <t>პულსი &gt;=125/წთ</t>
  </si>
  <si>
    <t>I კლასი</t>
  </si>
  <si>
    <t>სიკვდილობა 0.1%</t>
  </si>
  <si>
    <t>II კლასი</t>
  </si>
  <si>
    <t>71-90</t>
  </si>
  <si>
    <t>91-130</t>
  </si>
  <si>
    <t>41-70</t>
  </si>
  <si>
    <t>&lt;41</t>
  </si>
  <si>
    <t>III კლასი</t>
  </si>
  <si>
    <t>სიკვდილობა 0.9-2.8%</t>
  </si>
  <si>
    <t>სიკვდილობა 0.6-0.9%</t>
  </si>
  <si>
    <t>IV კლასი</t>
  </si>
  <si>
    <t>&gt;130</t>
  </si>
  <si>
    <t>V კლასი</t>
  </si>
  <si>
    <t>სიკვდილობა 8.2-9.3%</t>
  </si>
  <si>
    <t>სიკვდილობა 27.0-29.2%</t>
  </si>
  <si>
    <t>დაბალი რისკი</t>
  </si>
  <si>
    <t>საშუალო საშუალო</t>
  </si>
  <si>
    <t>მაღალი მაღალი</t>
  </si>
  <si>
    <t>პნევმონიის სიმძიმის CURB-65 შკალა</t>
  </si>
  <si>
    <t>შარდოვანა &gt;19 მგ/დლ  ან 7 მმოლ/ლ</t>
  </si>
  <si>
    <t>სუნთქვის სიხშირე &gt; 30/წთ</t>
  </si>
  <si>
    <t>სისხლის წნევა: სისტოლური &lt;90 ან დიასტოლური &lt;60 mmHg</t>
  </si>
  <si>
    <t>ასაკი ≥65 წელი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</si>
</sst>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Sylfaen"/>
      <family val="2"/>
      <charset val="1"/>
      <scheme val="minor"/>
    </font>
    <font>
      <b/>
      <sz val="11"/>
      <color theme="1"/>
      <name val="Sylfaen"/>
      <family val="1"/>
      <scheme val="minor"/>
    </font>
    <font>
      <sz val="11"/>
      <color theme="1"/>
      <name val="Calibri"/>
      <family val="2"/>
    </font>
    <font>
      <b/>
      <sz val="11"/>
      <color rgb="FFFF0000"/>
      <name val="Calibri"/>
      <family val="2"/>
    </font>
    <font>
      <b/>
      <sz val="11"/>
      <color theme="4"/>
      <name val="Calibri"/>
      <family val="2"/>
    </font>
    <font>
      <b/>
      <sz val="11"/>
      <color theme="1"/>
      <name val="Sylfaen"/>
      <family val="2"/>
      <charset val="204"/>
      <scheme val="minor"/>
    </font>
    <font>
      <sz val="11"/>
      <color theme="0"/>
      <name val="Sylfaen"/>
      <family val="2"/>
      <charset val="204"/>
      <scheme val="minor"/>
    </font>
    <font>
      <u/>
      <sz val="11"/>
      <color theme="10"/>
      <name val="Sylfaen"/>
      <family val="2"/>
      <charset val="1"/>
      <scheme val="minor"/>
    </font>
    <font>
      <b/>
      <sz val="11"/>
      <color theme="1"/>
      <name val="Calibri"/>
      <family val="2"/>
    </font>
    <font>
      <u/>
      <sz val="11"/>
      <color theme="10"/>
      <name val="Calibri"/>
      <family val="2"/>
    </font>
    <font>
      <b/>
      <sz val="11"/>
      <name val="Calibri"/>
      <family val="2"/>
    </font>
    <font>
      <b/>
      <sz val="11"/>
      <name val="Sylfaen"/>
      <family val="1"/>
      <scheme val="minor"/>
    </font>
    <font>
      <u/>
      <sz val="11"/>
      <name val="Sylfaen"/>
      <family val="2"/>
      <charset val="1"/>
      <scheme val="minor"/>
    </font>
    <font>
      <sz val="11"/>
      <color rgb="FFFF0000"/>
      <name val="Sylfaen"/>
      <family val="2"/>
      <charset val="1"/>
      <scheme val="minor"/>
    </font>
    <font>
      <sz val="11"/>
      <color theme="0"/>
      <name val="Sylfaen"/>
      <family val="2"/>
      <charset val="1"/>
      <scheme val="minor"/>
    </font>
    <font>
      <b/>
      <sz val="11"/>
      <color rgb="FFFF0000"/>
      <name val="Sylfaen"/>
      <family val="1"/>
      <scheme val="minor"/>
    </font>
    <font>
      <b/>
      <sz val="16"/>
      <name val="Sylfaen"/>
      <family val="1"/>
      <scheme val="minor"/>
    </font>
    <font>
      <sz val="11"/>
      <color theme="0"/>
      <name val="Sylfaen"/>
      <family val="1"/>
      <scheme val="minor"/>
    </font>
    <font>
      <sz val="11"/>
      <color theme="1"/>
      <name val="Sylfaen"/>
      <family val="1"/>
      <scheme val="minor"/>
    </font>
    <font>
      <b/>
      <u/>
      <sz val="11"/>
      <color theme="1"/>
      <name val="Sylfaen"/>
      <family val="1"/>
      <scheme val="minor"/>
    </font>
    <font>
      <b/>
      <u/>
      <sz val="11"/>
      <color theme="9" tint="-0.249977111117893"/>
      <name val="Sylfaen"/>
      <family val="1"/>
      <scheme val="minor"/>
    </font>
    <font>
      <b/>
      <u/>
      <sz val="11"/>
      <color rgb="FFFF0000"/>
      <name val="Sylfaen"/>
      <family val="1"/>
      <scheme val="minor"/>
    </font>
    <font>
      <b/>
      <u/>
      <sz val="11"/>
      <color theme="5"/>
      <name val="Sylfaen"/>
      <family val="1"/>
      <scheme val="minor"/>
    </font>
    <font>
      <sz val="8"/>
      <color rgb="FF000000"/>
      <name val="Sylfaen"/>
      <family val="1"/>
    </font>
    <font>
      <sz val="11"/>
      <color theme="1"/>
      <name val="Sylfaen"/>
      <family val="2"/>
      <charset val="1"/>
      <scheme val="minor"/>
    </font>
    <font>
      <i/>
      <sz val="11"/>
      <color theme="1"/>
      <name val="Sylfaen"/>
      <family val="1"/>
      <scheme val="minor"/>
    </font>
    <font>
      <sz val="11"/>
      <color theme="1"/>
      <name val="Sylfaen"/>
      <family val="1"/>
    </font>
    <font>
      <sz val="11"/>
      <color theme="0"/>
      <name val="Calibri"/>
      <family val="2"/>
    </font>
    <font>
      <sz val="11"/>
      <color theme="0"/>
      <name val="Sylfaen"/>
      <family val="1"/>
    </font>
    <font>
      <i/>
      <sz val="11"/>
      <color theme="0"/>
      <name val="Noto Sans"/>
      <family val="2"/>
    </font>
    <font>
      <sz val="11"/>
      <color theme="0"/>
      <name val="Noto Sans"/>
      <family val="2"/>
    </font>
    <font>
      <b/>
      <sz val="26"/>
      <color theme="1"/>
      <name val="Calibri"/>
      <family val="2"/>
    </font>
    <font>
      <b/>
      <sz val="22"/>
      <color theme="1"/>
      <name val="Sylfaen"/>
      <family val="1"/>
      <scheme val="minor"/>
    </font>
    <font>
      <b/>
      <sz val="10"/>
      <color theme="1"/>
      <name val="Calibri"/>
      <family val="2"/>
    </font>
    <font>
      <sz val="10"/>
      <color theme="1"/>
      <name val="Calibri"/>
      <family val="2"/>
    </font>
    <font>
      <sz val="11"/>
      <name val="Sylfaen"/>
      <family val="2"/>
      <charset val="1"/>
      <scheme val="minor"/>
    </font>
    <font>
      <b/>
      <sz val="16"/>
      <color theme="0"/>
      <name val="Calibri"/>
      <family val="2"/>
    </font>
    <font>
      <b/>
      <sz val="16"/>
      <color theme="1"/>
      <name val="Calibri"/>
      <family val="2"/>
    </font>
    <font>
      <b/>
      <sz val="14"/>
      <color theme="1"/>
      <name val="Calibri"/>
      <family val="2"/>
    </font>
    <font>
      <sz val="11"/>
      <color theme="0" tint="-4.9989318521683403E-2"/>
      <name val="Calibri"/>
      <family val="2"/>
    </font>
    <font>
      <sz val="11"/>
      <name val="Calibri"/>
      <family val="2"/>
    </font>
    <font>
      <sz val="12"/>
      <name val="Calibri"/>
      <family val="2"/>
    </font>
    <font>
      <sz val="14"/>
      <name val="Calibri"/>
      <family val="2"/>
    </font>
    <font>
      <sz val="11"/>
      <color theme="4"/>
      <name val="Calibri"/>
      <family val="2"/>
    </font>
    <font>
      <b/>
      <sz val="9"/>
      <color theme="1"/>
      <name val="Calibri"/>
      <family val="2"/>
    </font>
    <font>
      <sz val="9"/>
      <color theme="1"/>
      <name val="Calibri"/>
      <family val="2"/>
    </font>
    <font>
      <b/>
      <sz val="14"/>
      <color theme="0"/>
      <name val="Calibri"/>
      <family val="2"/>
    </font>
    <font>
      <b/>
      <sz val="12"/>
      <name val="Calibri"/>
      <family val="2"/>
    </font>
    <font>
      <u/>
      <sz val="11"/>
      <color theme="0"/>
      <name val="Calibri"/>
      <family val="2"/>
    </font>
    <font>
      <b/>
      <sz val="11"/>
      <color theme="5" tint="0.79998168889431442"/>
      <name val="Calibri"/>
      <family val="2"/>
    </font>
    <font>
      <sz val="11"/>
      <color theme="5" tint="0.79998168889431442"/>
      <name val="Calibri"/>
      <family val="2"/>
    </font>
    <font>
      <b/>
      <sz val="20"/>
      <color theme="0"/>
      <name val="Calibri"/>
      <family val="2"/>
    </font>
    <font>
      <b/>
      <sz val="11"/>
      <color theme="0"/>
      <name val="Calibri"/>
      <family val="2"/>
    </font>
    <font>
      <sz val="10"/>
      <name val="Sylfaen"/>
      <family val="2"/>
      <charset val="1"/>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34998626667073579"/>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137">
    <xf numFmtId="0" fontId="0" fillId="0" borderId="0" xfId="0"/>
    <xf numFmtId="0" fontId="0" fillId="2" borderId="0" xfId="0" applyFill="1"/>
    <xf numFmtId="0" fontId="1" fillId="2" borderId="0" xfId="0" applyFont="1" applyFill="1"/>
    <xf numFmtId="0" fontId="2" fillId="2" borderId="0" xfId="0" applyFont="1" applyFill="1"/>
    <xf numFmtId="0" fontId="2" fillId="2" borderId="0" xfId="0" applyFont="1" applyFill="1" applyAlignment="1">
      <alignment horizontal="center" vertical="center"/>
    </xf>
    <xf numFmtId="0" fontId="0" fillId="2" borderId="0" xfId="0" applyFill="1" applyAlignment="1">
      <alignment horizontal="center" vertical="center"/>
    </xf>
    <xf numFmtId="0" fontId="6" fillId="2" borderId="0" xfId="0" applyFont="1" applyFill="1"/>
    <xf numFmtId="0" fontId="9" fillId="2" borderId="0" xfId="1" applyFont="1" applyFill="1" applyAlignment="1">
      <alignment horizontal="center" vertical="center"/>
    </xf>
    <xf numFmtId="0" fontId="10" fillId="2" borderId="0" xfId="0" applyFont="1" applyFill="1" applyAlignment="1">
      <alignment horizontal="right" vertical="center"/>
    </xf>
    <xf numFmtId="0" fontId="8" fillId="2" borderId="0" xfId="0" applyFont="1" applyFill="1" applyAlignment="1">
      <alignment horizontal="center" vertical="center"/>
    </xf>
    <xf numFmtId="0" fontId="13" fillId="2" borderId="0" xfId="0" applyFont="1" applyFill="1"/>
    <xf numFmtId="0" fontId="0" fillId="2" borderId="0" xfId="0" applyFill="1" applyProtection="1">
      <protection locked="0"/>
    </xf>
    <xf numFmtId="0" fontId="14" fillId="2" borderId="0" xfId="0" applyFont="1" applyFill="1"/>
    <xf numFmtId="0" fontId="14" fillId="2" borderId="0" xfId="0" applyFont="1" applyFill="1" applyProtection="1">
      <protection locked="0"/>
    </xf>
    <xf numFmtId="0" fontId="2" fillId="2" borderId="0" xfId="0" applyFont="1" applyFill="1" applyProtection="1">
      <protection locked="0"/>
    </xf>
    <xf numFmtId="0" fontId="0" fillId="2" borderId="0" xfId="0" applyFill="1" applyAlignment="1">
      <alignment vertical="center"/>
    </xf>
    <xf numFmtId="0" fontId="18" fillId="2" borderId="0" xfId="0" applyFont="1" applyFill="1"/>
    <xf numFmtId="0" fontId="1" fillId="2" borderId="0" xfId="0" applyFont="1" applyFill="1" applyAlignment="1">
      <alignment vertical="top" wrapText="1"/>
    </xf>
    <xf numFmtId="0" fontId="0" fillId="2" borderId="0" xfId="0" applyFill="1" applyAlignment="1">
      <alignment horizontal="left" vertical="center" wrapText="1"/>
    </xf>
    <xf numFmtId="0" fontId="5" fillId="2" borderId="0" xfId="0" applyFont="1" applyFill="1"/>
    <xf numFmtId="0" fontId="11" fillId="2" borderId="0" xfId="1" applyFont="1" applyFill="1" applyAlignment="1">
      <alignment vertical="center"/>
    </xf>
    <xf numFmtId="0" fontId="0" fillId="2" borderId="0" xfId="0" applyFill="1" applyAlignment="1">
      <alignment vertical="center" wrapText="1"/>
    </xf>
    <xf numFmtId="0" fontId="0" fillId="5" borderId="21"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26" fillId="2" borderId="0" xfId="0" applyFont="1" applyFill="1"/>
    <xf numFmtId="0" fontId="27" fillId="2" borderId="0" xfId="0" applyFont="1" applyFill="1"/>
    <xf numFmtId="0" fontId="29" fillId="0" borderId="0" xfId="0" applyFont="1"/>
    <xf numFmtId="0" fontId="30" fillId="0" borderId="0" xfId="0" applyFont="1"/>
    <xf numFmtId="0" fontId="24" fillId="2" borderId="0" xfId="1" applyFont="1" applyFill="1" applyAlignment="1">
      <alignment horizontal="right" vertical="center"/>
    </xf>
    <xf numFmtId="0" fontId="24" fillId="2" borderId="0" xfId="1" applyFont="1" applyFill="1"/>
    <xf numFmtId="0" fontId="12" fillId="2" borderId="0" xfId="1" applyFont="1" applyFill="1" applyAlignment="1">
      <alignment vertical="center"/>
    </xf>
    <xf numFmtId="0" fontId="2" fillId="2" borderId="0" xfId="0" applyFont="1" applyFill="1" applyAlignment="1">
      <alignment vertical="top" wrapText="1"/>
    </xf>
    <xf numFmtId="0" fontId="2" fillId="2" borderId="0" xfId="0" applyFont="1" applyFill="1" applyAlignment="1">
      <alignment vertical="center" wrapText="1"/>
    </xf>
    <xf numFmtId="0" fontId="33" fillId="2" borderId="0" xfId="0" applyFont="1" applyFill="1"/>
    <xf numFmtId="0" fontId="32" fillId="2" borderId="0" xfId="1" applyFont="1" applyFill="1" applyAlignment="1">
      <alignment horizontal="center" vertical="center" wrapText="1"/>
    </xf>
    <xf numFmtId="0" fontId="31" fillId="2" borderId="0" xfId="1" applyFont="1" applyFill="1" applyAlignment="1">
      <alignment horizontal="center" vertical="center" wrapText="1"/>
    </xf>
    <xf numFmtId="0" fontId="12" fillId="2" borderId="0" xfId="1" applyFont="1" applyFill="1" applyAlignment="1">
      <alignment horizontal="left" vertical="center"/>
    </xf>
    <xf numFmtId="0" fontId="2" fillId="2" borderId="0" xfId="0" applyFont="1" applyFill="1" applyAlignment="1">
      <alignment horizontal="center" vertical="top" wrapText="1"/>
    </xf>
    <xf numFmtId="0" fontId="2" fillId="2" borderId="0" xfId="0" applyFont="1" applyFill="1" applyAlignment="1">
      <alignment horizontal="center" vertical="center" wrapText="1"/>
    </xf>
    <xf numFmtId="0" fontId="33" fillId="2" borderId="0" xfId="0" applyFont="1" applyFill="1" applyAlignment="1">
      <alignment horizontal="left" vertical="center" wrapText="1"/>
    </xf>
    <xf numFmtId="0" fontId="8"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1" fillId="5" borderId="0" xfId="0" applyFont="1" applyFill="1" applyAlignment="1">
      <alignment horizontal="left" vertical="center"/>
    </xf>
    <xf numFmtId="0" fontId="0" fillId="2" borderId="0" xfId="0" applyFill="1" applyAlignment="1">
      <alignment horizontal="left" vertical="center" wrapText="1"/>
    </xf>
    <xf numFmtId="0" fontId="11" fillId="5" borderId="0" xfId="1" applyFont="1" applyFill="1" applyAlignment="1">
      <alignment horizontal="left" vertical="center"/>
    </xf>
    <xf numFmtId="0" fontId="0" fillId="2" borderId="0" xfId="0" applyFill="1" applyAlignment="1">
      <alignment horizontal="left" vertical="top" wrapText="1"/>
    </xf>
    <xf numFmtId="0" fontId="11" fillId="5" borderId="0" xfId="1" applyFont="1" applyFill="1" applyAlignment="1">
      <alignment horizontal="center" vertical="center"/>
    </xf>
    <xf numFmtId="0" fontId="18" fillId="2" borderId="0" xfId="0" applyFont="1" applyFill="1" applyAlignment="1">
      <alignment horizontal="left" vertical="center" wrapText="1"/>
    </xf>
    <xf numFmtId="0" fontId="16" fillId="5" borderId="0" xfId="1" applyFont="1" applyFill="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horizontal="left" vertical="top" wrapText="1"/>
    </xf>
    <xf numFmtId="0" fontId="0" fillId="2" borderId="25" xfId="0" applyFill="1" applyBorder="1" applyAlignment="1">
      <alignment horizontal="left" vertical="center"/>
    </xf>
    <xf numFmtId="0" fontId="0" fillId="2" borderId="25" xfId="0" applyFill="1" applyBorder="1" applyAlignment="1">
      <alignment horizontal="left" vertical="center" wrapText="1"/>
    </xf>
    <xf numFmtId="0" fontId="0" fillId="2" borderId="26" xfId="0" applyFill="1" applyBorder="1" applyAlignment="1">
      <alignment horizontal="left" vertical="center"/>
    </xf>
    <xf numFmtId="0" fontId="0" fillId="2" borderId="18" xfId="0" applyFill="1" applyBorder="1" applyAlignment="1">
      <alignment horizontal="left" vertical="center"/>
    </xf>
    <xf numFmtId="0" fontId="0" fillId="2" borderId="27" xfId="0" applyFill="1" applyBorder="1" applyAlignment="1">
      <alignment horizontal="left" vertical="center"/>
    </xf>
    <xf numFmtId="0" fontId="5" fillId="3" borderId="25" xfId="0" applyFont="1" applyFill="1" applyBorder="1" applyAlignment="1">
      <alignment horizontal="center" vertical="center"/>
    </xf>
    <xf numFmtId="0" fontId="5" fillId="5" borderId="25" xfId="0" applyFont="1" applyFill="1" applyBorder="1" applyAlignment="1">
      <alignment horizontal="center" vertical="center"/>
    </xf>
    <xf numFmtId="0" fontId="0" fillId="2" borderId="0" xfId="0" applyFill="1" applyAlignment="1">
      <alignment horizontal="left" vertical="center"/>
    </xf>
    <xf numFmtId="0" fontId="0" fillId="2" borderId="0" xfId="0" applyFill="1" applyAlignment="1">
      <alignment horizontal="right" vertical="center"/>
    </xf>
    <xf numFmtId="0" fontId="0" fillId="2" borderId="0" xfId="0" applyFill="1" applyAlignment="1">
      <alignment horizontal="right"/>
    </xf>
    <xf numFmtId="0" fontId="25" fillId="2" borderId="0" xfId="0" applyFont="1" applyFill="1" applyAlignment="1">
      <alignment horizontal="left" vertical="center" wrapText="1"/>
    </xf>
    <xf numFmtId="0" fontId="34" fillId="2" borderId="0" xfId="0" applyFont="1" applyFill="1"/>
    <xf numFmtId="0" fontId="2" fillId="0" borderId="0" xfId="0" applyFont="1"/>
    <xf numFmtId="0" fontId="37" fillId="2" borderId="0" xfId="0" applyFont="1" applyFill="1" applyAlignment="1">
      <alignment horizontal="center" vertical="center" wrapText="1"/>
    </xf>
    <xf numFmtId="0" fontId="8" fillId="5" borderId="1" xfId="0" applyFont="1" applyFill="1" applyBorder="1" applyAlignment="1">
      <alignment horizontal="left" vertical="center"/>
    </xf>
    <xf numFmtId="0" fontId="8" fillId="5" borderId="2" xfId="0" applyFont="1" applyFill="1" applyBorder="1" applyAlignment="1">
      <alignment horizontal="left" vertical="center"/>
    </xf>
    <xf numFmtId="0" fontId="38" fillId="2" borderId="3" xfId="0" applyFont="1" applyFill="1" applyBorder="1" applyAlignment="1" applyProtection="1">
      <alignment horizontal="center" vertical="center"/>
      <protection locked="0"/>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0" fontId="38" fillId="2" borderId="6" xfId="0" applyFont="1" applyFill="1" applyBorder="1" applyAlignment="1" applyProtection="1">
      <alignment horizontal="center" vertical="center"/>
      <protection locked="0"/>
    </xf>
    <xf numFmtId="0" fontId="8" fillId="2" borderId="0" xfId="0" applyFont="1" applyFill="1" applyAlignment="1">
      <alignment horizontal="left" vertical="center"/>
    </xf>
    <xf numFmtId="0" fontId="38" fillId="2" borderId="0" xfId="0" applyFont="1" applyFill="1" applyAlignment="1">
      <alignment horizontal="center" vertical="center"/>
    </xf>
    <xf numFmtId="0" fontId="8" fillId="5" borderId="7" xfId="0" applyFont="1" applyFill="1" applyBorder="1" applyAlignment="1">
      <alignment horizontal="left" vertical="center"/>
    </xf>
    <xf numFmtId="0" fontId="8" fillId="5" borderId="8" xfId="0" applyFont="1" applyFill="1" applyBorder="1" applyAlignment="1">
      <alignment horizontal="left" vertical="center"/>
    </xf>
    <xf numFmtId="0" fontId="39" fillId="5" borderId="9" xfId="0" applyFont="1" applyFill="1" applyBorder="1" applyAlignment="1" applyProtection="1">
      <alignment horizontal="center" vertical="center"/>
      <protection locked="0"/>
    </xf>
    <xf numFmtId="0" fontId="8" fillId="3" borderId="7" xfId="0" applyFont="1" applyFill="1" applyBorder="1" applyAlignment="1">
      <alignment horizontal="left" vertical="center"/>
    </xf>
    <xf numFmtId="0" fontId="8" fillId="3" borderId="8" xfId="0" applyFont="1" applyFill="1" applyBorder="1" applyAlignment="1">
      <alignment horizontal="left" vertical="center"/>
    </xf>
    <xf numFmtId="0" fontId="8" fillId="3" borderId="9" xfId="0" applyFont="1" applyFill="1" applyBorder="1" applyAlignment="1">
      <alignment horizontal="left" vertical="center"/>
    </xf>
    <xf numFmtId="0" fontId="40" fillId="5" borderId="10" xfId="0" applyFont="1" applyFill="1" applyBorder="1" applyAlignment="1">
      <alignment horizontal="left" vertical="center"/>
    </xf>
    <xf numFmtId="0" fontId="40" fillId="5" borderId="11" xfId="0" applyFont="1" applyFill="1" applyBorder="1" applyAlignment="1">
      <alignment horizontal="left" vertical="center"/>
    </xf>
    <xf numFmtId="0" fontId="39" fillId="5" borderId="12" xfId="0" applyFont="1" applyFill="1" applyBorder="1" applyAlignment="1" applyProtection="1">
      <alignment horizontal="center" vertical="center"/>
      <protection locked="0"/>
    </xf>
    <xf numFmtId="0" fontId="27" fillId="2" borderId="0" xfId="0" applyFont="1" applyFill="1" applyAlignment="1">
      <alignment horizontal="right" vertical="center"/>
    </xf>
    <xf numFmtId="0" fontId="40" fillId="5" borderId="13" xfId="0" applyFont="1" applyFill="1" applyBorder="1" applyAlignment="1">
      <alignment horizontal="left" vertical="center"/>
    </xf>
    <xf numFmtId="0" fontId="40" fillId="5" borderId="14" xfId="0" applyFont="1" applyFill="1" applyBorder="1" applyAlignment="1">
      <alignment horizontal="left" vertical="center"/>
    </xf>
    <xf numFmtId="0" fontId="39" fillId="5" borderId="15" xfId="0" applyFont="1" applyFill="1" applyBorder="1" applyAlignment="1" applyProtection="1">
      <alignment horizontal="center" vertical="center"/>
      <protection locked="0"/>
    </xf>
    <xf numFmtId="0" fontId="8" fillId="3" borderId="1" xfId="0" applyFont="1" applyFill="1" applyBorder="1" applyAlignment="1">
      <alignment horizontal="left" vertical="center"/>
    </xf>
    <xf numFmtId="0" fontId="8" fillId="3" borderId="2" xfId="0" applyFont="1" applyFill="1" applyBorder="1" applyAlignment="1">
      <alignment horizontal="left" vertical="center"/>
    </xf>
    <xf numFmtId="0" fontId="8" fillId="3" borderId="16" xfId="0" applyFont="1" applyFill="1" applyBorder="1" applyAlignment="1">
      <alignment horizontal="left" vertical="center"/>
    </xf>
    <xf numFmtId="0" fontId="40" fillId="5" borderId="17" xfId="0" applyFont="1" applyFill="1" applyBorder="1" applyAlignment="1">
      <alignment horizontal="left" vertical="center"/>
    </xf>
    <xf numFmtId="0" fontId="40" fillId="5" borderId="18" xfId="0" applyFont="1" applyFill="1" applyBorder="1" applyAlignment="1">
      <alignment horizontal="left" vertical="center"/>
    </xf>
    <xf numFmtId="0" fontId="39" fillId="5" borderId="19" xfId="0" applyFont="1" applyFill="1" applyBorder="1" applyAlignment="1" applyProtection="1">
      <alignment vertical="center"/>
      <protection locked="0"/>
    </xf>
    <xf numFmtId="0" fontId="39" fillId="5" borderId="19" xfId="0" applyFont="1" applyFill="1" applyBorder="1" applyAlignment="1" applyProtection="1">
      <alignment horizontal="center" vertical="center"/>
      <protection locked="0"/>
    </xf>
    <xf numFmtId="0" fontId="40" fillId="5" borderId="20" xfId="0" applyFont="1" applyFill="1" applyBorder="1" applyAlignment="1">
      <alignment horizontal="left" vertical="center"/>
    </xf>
    <xf numFmtId="0" fontId="40" fillId="5" borderId="21" xfId="0" applyFont="1" applyFill="1" applyBorder="1" applyAlignment="1">
      <alignment horizontal="left" vertical="center"/>
    </xf>
    <xf numFmtId="0" fontId="39" fillId="5" borderId="22" xfId="0" applyFont="1" applyFill="1" applyBorder="1" applyAlignment="1" applyProtection="1">
      <alignment horizontal="center" vertical="center"/>
      <protection locked="0"/>
    </xf>
    <xf numFmtId="0" fontId="43" fillId="2" borderId="0" xfId="0" applyFont="1" applyFill="1"/>
    <xf numFmtId="10" fontId="2" fillId="2" borderId="0" xfId="0" applyNumberFormat="1" applyFont="1" applyFill="1" applyAlignment="1">
      <alignment horizontal="center" vertical="center"/>
    </xf>
    <xf numFmtId="0" fontId="44" fillId="2" borderId="0" xfId="0" applyFont="1" applyFill="1" applyAlignment="1">
      <alignment horizontal="right" vertical="center"/>
    </xf>
    <xf numFmtId="0" fontId="45" fillId="2" borderId="0" xfId="0" applyFont="1" applyFill="1" applyAlignment="1">
      <alignment horizontal="left" vertical="center" wrapText="1"/>
    </xf>
    <xf numFmtId="0" fontId="46" fillId="6" borderId="0" xfId="0" applyFont="1" applyFill="1" applyAlignment="1">
      <alignment horizontal="center" vertical="center" wrapText="1"/>
    </xf>
    <xf numFmtId="0" fontId="47" fillId="2" borderId="8" xfId="0" applyFont="1" applyFill="1" applyBorder="1" applyAlignment="1">
      <alignment horizontal="center" vertical="center"/>
    </xf>
    <xf numFmtId="0" fontId="47" fillId="2" borderId="9" xfId="0" applyFont="1" applyFill="1" applyBorder="1" applyAlignment="1">
      <alignment horizontal="center" vertical="center"/>
    </xf>
    <xf numFmtId="0" fontId="27" fillId="2" borderId="0" xfId="0" applyFont="1" applyFill="1" applyAlignment="1">
      <alignment horizontal="center" vertical="center"/>
    </xf>
    <xf numFmtId="0" fontId="48" fillId="2" borderId="0" xfId="1" applyFont="1" applyFill="1" applyAlignment="1">
      <alignment horizontal="center" vertical="center"/>
    </xf>
    <xf numFmtId="0" fontId="47" fillId="2" borderId="7" xfId="0" applyFont="1" applyFill="1" applyBorder="1" applyAlignment="1">
      <alignment horizontal="center" vertical="center"/>
    </xf>
    <xf numFmtId="0" fontId="2" fillId="2" borderId="0" xfId="0" applyFont="1" applyFill="1" applyAlignment="1">
      <alignment horizontal="center"/>
    </xf>
    <xf numFmtId="0" fontId="2" fillId="0" borderId="23" xfId="0" applyFont="1" applyBorder="1" applyAlignment="1">
      <alignment horizontal="center"/>
    </xf>
    <xf numFmtId="0" fontId="2" fillId="0" borderId="0" xfId="0" applyFont="1" applyAlignment="1">
      <alignment horizontal="center"/>
    </xf>
    <xf numFmtId="0" fontId="2" fillId="0" borderId="22" xfId="0" applyFont="1" applyBorder="1" applyAlignment="1">
      <alignment horizontal="center"/>
    </xf>
    <xf numFmtId="0" fontId="2" fillId="0" borderId="23" xfId="0" applyFont="1" applyBorder="1" applyAlignment="1">
      <alignment horizontal="left" vertical="center"/>
    </xf>
    <xf numFmtId="0" fontId="2" fillId="0" borderId="0" xfId="0" applyFont="1" applyAlignment="1">
      <alignment horizontal="left" vertical="center"/>
    </xf>
    <xf numFmtId="0" fontId="2" fillId="0" borderId="22" xfId="0" applyFont="1" applyBorder="1" applyAlignment="1">
      <alignment horizontal="left" vertical="center"/>
    </xf>
    <xf numFmtId="0" fontId="51" fillId="4" borderId="1" xfId="0" applyFont="1" applyFill="1" applyBorder="1" applyAlignment="1">
      <alignment horizontal="center" vertical="center"/>
    </xf>
    <xf numFmtId="0" fontId="51" fillId="4" borderId="2" xfId="0" applyFont="1" applyFill="1" applyBorder="1" applyAlignment="1">
      <alignment horizontal="center" vertical="center"/>
    </xf>
    <xf numFmtId="0" fontId="51" fillId="4" borderId="16" xfId="0" applyFont="1" applyFill="1" applyBorder="1" applyAlignment="1">
      <alignment horizontal="center" vertical="center"/>
    </xf>
    <xf numFmtId="0" fontId="51" fillId="4" borderId="23" xfId="0" applyFont="1" applyFill="1" applyBorder="1" applyAlignment="1">
      <alignment horizontal="center" vertical="center"/>
    </xf>
    <xf numFmtId="0" fontId="51" fillId="4" borderId="0" xfId="0" applyFont="1" applyFill="1" applyAlignment="1">
      <alignment horizontal="center" vertical="center"/>
    </xf>
    <xf numFmtId="0" fontId="51" fillId="4" borderId="22" xfId="0" applyFont="1" applyFill="1" applyBorder="1" applyAlignment="1">
      <alignment horizontal="center" vertical="center"/>
    </xf>
    <xf numFmtId="0" fontId="51" fillId="4" borderId="4" xfId="0" applyFont="1" applyFill="1" applyBorder="1" applyAlignment="1">
      <alignment horizontal="center" vertical="center"/>
    </xf>
    <xf numFmtId="0" fontId="51" fillId="4" borderId="5" xfId="0" applyFont="1" applyFill="1" applyBorder="1" applyAlignment="1">
      <alignment horizontal="center" vertical="center"/>
    </xf>
    <xf numFmtId="0" fontId="51" fillId="4" borderId="24" xfId="0" applyFont="1" applyFill="1" applyBorder="1" applyAlignment="1">
      <alignment horizontal="center" vertical="center"/>
    </xf>
    <xf numFmtId="0" fontId="2" fillId="5" borderId="1" xfId="0" applyFont="1" applyFill="1" applyBorder="1" applyAlignment="1">
      <alignment horizontal="left" vertical="center"/>
    </xf>
    <xf numFmtId="0" fontId="2" fillId="5" borderId="2" xfId="0" applyFont="1" applyFill="1" applyBorder="1" applyAlignment="1">
      <alignment horizontal="left" vertical="center"/>
    </xf>
    <xf numFmtId="0" fontId="49" fillId="5" borderId="16" xfId="0" applyFont="1" applyFill="1" applyBorder="1" applyAlignment="1" applyProtection="1">
      <alignment vertical="center"/>
      <protection locked="0"/>
    </xf>
    <xf numFmtId="0" fontId="2" fillId="5" borderId="23" xfId="0" applyFont="1" applyFill="1" applyBorder="1" applyAlignment="1">
      <alignment horizontal="left" vertical="center"/>
    </xf>
    <xf numFmtId="0" fontId="2" fillId="5" borderId="0" xfId="0" applyFont="1" applyFill="1" applyAlignment="1">
      <alignment horizontal="left" vertical="center"/>
    </xf>
    <xf numFmtId="0" fontId="50" fillId="5" borderId="22" xfId="0" applyFont="1" applyFill="1" applyBorder="1" applyAlignment="1" applyProtection="1">
      <alignment horizontal="left" vertical="center"/>
      <protection locked="0"/>
    </xf>
    <xf numFmtId="0" fontId="2" fillId="5" borderId="4" xfId="0" applyFont="1" applyFill="1" applyBorder="1" applyAlignment="1">
      <alignment horizontal="left" vertical="center"/>
    </xf>
    <xf numFmtId="0" fontId="2" fillId="5" borderId="5" xfId="0" applyFont="1" applyFill="1" applyBorder="1" applyAlignment="1">
      <alignment horizontal="left" vertical="center"/>
    </xf>
    <xf numFmtId="0" fontId="50" fillId="5" borderId="24" xfId="0" applyFont="1" applyFill="1" applyBorder="1" applyAlignment="1" applyProtection="1">
      <alignment horizontal="left" vertical="center"/>
      <protection locked="0"/>
    </xf>
    <xf numFmtId="0" fontId="36" fillId="7" borderId="0" xfId="0" applyFont="1" applyFill="1" applyAlignment="1">
      <alignment horizontal="center" vertical="center"/>
    </xf>
    <xf numFmtId="0" fontId="52" fillId="7" borderId="0" xfId="0" applyFont="1" applyFill="1" applyAlignment="1">
      <alignment horizontal="center" vertical="center"/>
    </xf>
    <xf numFmtId="0" fontId="35" fillId="2" borderId="0" xfId="1" applyFont="1" applyFill="1" applyAlignment="1">
      <alignment horizontal="center" vertical="center"/>
    </xf>
    <xf numFmtId="0" fontId="53" fillId="2" borderId="0" xfId="1" applyFont="1" applyFill="1" applyAlignment="1">
      <alignment horizontal="center" vertical="center"/>
    </xf>
  </cellXfs>
  <cellStyles count="2">
    <cellStyle name="Hyperlink" xfId="1" builtinId="8"/>
    <cellStyle name="Normal" xfId="0" builtinId="0"/>
  </cellStyles>
  <dxfs count="17">
    <dxf>
      <fill>
        <patternFill>
          <bgColor rgb="FFFF0000"/>
        </patternFill>
      </fill>
    </dxf>
    <dxf>
      <font>
        <color theme="0"/>
      </font>
      <fill>
        <patternFill>
          <bgColor rgb="FFFF0000"/>
        </patternFill>
      </fill>
    </dxf>
    <dxf>
      <font>
        <color theme="0"/>
      </font>
      <fill>
        <patternFill>
          <bgColor theme="5"/>
        </patternFill>
      </fill>
    </dxf>
    <dxf>
      <fill>
        <patternFill>
          <bgColor theme="5" tint="0.59996337778862885"/>
        </patternFill>
      </fill>
    </dxf>
    <dxf>
      <fill>
        <patternFill>
          <bgColor theme="5" tint="0.59996337778862885"/>
        </patternFill>
      </fill>
    </dxf>
    <dxf>
      <fill>
        <patternFill>
          <bgColor theme="5" tint="0.59996337778862885"/>
        </patternFill>
      </fill>
    </dxf>
    <dxf>
      <font>
        <color theme="0"/>
      </font>
      <fill>
        <patternFill>
          <bgColor rgb="FFFF0000"/>
        </patternFill>
      </fill>
    </dxf>
    <dxf>
      <font>
        <color theme="0"/>
      </font>
      <fill>
        <patternFill>
          <bgColor theme="5"/>
        </patternFill>
      </fill>
    </dxf>
    <dxf>
      <fill>
        <patternFill>
          <bgColor theme="5" tint="0.59996337778862885"/>
        </patternFill>
      </fill>
    </dxf>
    <dxf>
      <font>
        <color theme="0"/>
      </font>
      <fill>
        <patternFill>
          <bgColor rgb="FFFF0000"/>
        </patternFill>
      </fill>
    </dxf>
    <dxf>
      <font>
        <color theme="0"/>
      </font>
      <fill>
        <patternFill>
          <bgColor theme="5"/>
        </patternFill>
      </fill>
    </dxf>
    <dxf>
      <font>
        <color auto="1"/>
      </font>
      <fill>
        <patternFill>
          <bgColor theme="5" tint="0.59996337778862885"/>
        </patternFill>
      </fill>
    </dxf>
    <dxf>
      <font>
        <color theme="4"/>
      </font>
    </dxf>
    <dxf>
      <font>
        <b/>
        <i val="0"/>
        <color rgb="FFFF0000"/>
      </font>
    </dxf>
    <dxf>
      <font>
        <b/>
        <i val="0"/>
        <color rgb="FFFF0000"/>
      </font>
    </dxf>
    <dxf>
      <font>
        <b/>
        <i val="0"/>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Style="combo" dx="22" fmlaLink="$H$2" fmlaRange="$AC$1:$AC$6" noThreeD="1" sel="1" val="0"/>
</file>

<file path=xl/ctrlProps/ctrlProp10.xml><?xml version="1.0" encoding="utf-8"?>
<formControlPr xmlns="http://schemas.microsoft.com/office/spreadsheetml/2009/9/main" objectType="CheckBox" fmlaLink="$H$17" lockText="1" noThreeD="1"/>
</file>

<file path=xl/ctrlProps/ctrlProp100.xml><?xml version="1.0" encoding="utf-8"?>
<formControlPr xmlns="http://schemas.microsoft.com/office/spreadsheetml/2009/9/main" objectType="Drop" dropStyle="combo" dx="22" fmlaLink="$H$6" fmlaRange="$AC$5:$AC$7" noThreeD="1" sel="1" val="0"/>
</file>

<file path=xl/ctrlProps/ctrlProp101.xml><?xml version="1.0" encoding="utf-8"?>
<formControlPr xmlns="http://schemas.microsoft.com/office/spreadsheetml/2009/9/main" objectType="Drop" dropStyle="combo" dx="22" fmlaLink="$H$8" fmlaRange="$AC$8:$AC$10" noThreeD="1" sel="1" val="0"/>
</file>

<file path=xl/ctrlProps/ctrlProp102.xml><?xml version="1.0" encoding="utf-8"?>
<formControlPr xmlns="http://schemas.microsoft.com/office/spreadsheetml/2009/9/main" objectType="Drop" dropStyle="combo" dx="22" fmlaLink="$L$5" fmlaRange="$AC$1:$AC$3" noThreeD="1" sel="1" val="0"/>
</file>

<file path=xl/ctrlProps/ctrlProp103.xml><?xml version="1.0" encoding="utf-8"?>
<formControlPr xmlns="http://schemas.microsoft.com/office/spreadsheetml/2009/9/main" objectType="Drop" dropStyle="combo" dx="22" fmlaLink="$J$10" fmlaRange="$AC$5:$AC$7" noThreeD="1" sel="1" val="0"/>
</file>

<file path=xl/ctrlProps/ctrlProp104.xml><?xml version="1.0" encoding="utf-8"?>
<formControlPr xmlns="http://schemas.microsoft.com/office/spreadsheetml/2009/9/main" objectType="Drop" dropLines="25" dropStyle="combo" dx="22" fmlaLink="$C$4" fmlaRange="$O$2:$O$26" noThreeD="1" sel="1" val="0"/>
</file>

<file path=xl/ctrlProps/ctrlProp11.xml><?xml version="1.0" encoding="utf-8"?>
<formControlPr xmlns="http://schemas.microsoft.com/office/spreadsheetml/2009/9/main" objectType="CheckBox" fmlaLink="$H$18" lockText="1" noThreeD="1"/>
</file>

<file path=xl/ctrlProps/ctrlProp12.xml><?xml version="1.0" encoding="utf-8"?>
<formControlPr xmlns="http://schemas.microsoft.com/office/spreadsheetml/2009/9/main" objectType="CheckBox" fmlaLink="$H$23" lockText="1" noThreeD="1"/>
</file>

<file path=xl/ctrlProps/ctrlProp13.xml><?xml version="1.0" encoding="utf-8"?>
<formControlPr xmlns="http://schemas.microsoft.com/office/spreadsheetml/2009/9/main" objectType="CheckBox" fmlaLink="$H$24" lockText="1" noThreeD="1"/>
</file>

<file path=xl/ctrlProps/ctrlProp14.xml><?xml version="1.0" encoding="utf-8"?>
<formControlPr xmlns="http://schemas.microsoft.com/office/spreadsheetml/2009/9/main" objectType="CheckBox" fmlaLink="$H$25" lockText="1" noThreeD="1"/>
</file>

<file path=xl/ctrlProps/ctrlProp15.xml><?xml version="1.0" encoding="utf-8"?>
<formControlPr xmlns="http://schemas.microsoft.com/office/spreadsheetml/2009/9/main" objectType="CheckBox" fmlaLink="$H$29" lockText="1" noThreeD="1"/>
</file>

<file path=xl/ctrlProps/ctrlProp16.xml><?xml version="1.0" encoding="utf-8"?>
<formControlPr xmlns="http://schemas.microsoft.com/office/spreadsheetml/2009/9/main" objectType="CheckBox" fmlaLink="$H$35" lockText="1" noThreeD="1"/>
</file>

<file path=xl/ctrlProps/ctrlProp17.xml><?xml version="1.0" encoding="utf-8"?>
<formControlPr xmlns="http://schemas.microsoft.com/office/spreadsheetml/2009/9/main" objectType="CheckBox" fmlaLink="$H$30" lockText="1" noThreeD="1"/>
</file>

<file path=xl/ctrlProps/ctrlProp18.xml><?xml version="1.0" encoding="utf-8"?>
<formControlPr xmlns="http://schemas.microsoft.com/office/spreadsheetml/2009/9/main" objectType="CheckBox" fmlaLink="$H$31" lockText="1" noThreeD="1"/>
</file>

<file path=xl/ctrlProps/ctrlProp19.xml><?xml version="1.0" encoding="utf-8"?>
<formControlPr xmlns="http://schemas.microsoft.com/office/spreadsheetml/2009/9/main" objectType="CheckBox" fmlaLink="$H$32" lockText="1" noThreeD="1"/>
</file>

<file path=xl/ctrlProps/ctrlProp2.xml><?xml version="1.0" encoding="utf-8"?>
<formControlPr xmlns="http://schemas.microsoft.com/office/spreadsheetml/2009/9/main" objectType="CheckBox" fmlaLink="$H$11" lockText="1" noThreeD="1"/>
</file>

<file path=xl/ctrlProps/ctrlProp20.xml><?xml version="1.0" encoding="utf-8"?>
<formControlPr xmlns="http://schemas.microsoft.com/office/spreadsheetml/2009/9/main" objectType="CheckBox" fmlaLink="$H$33" lockText="1" noThreeD="1"/>
</file>

<file path=xl/ctrlProps/ctrlProp21.xml><?xml version="1.0" encoding="utf-8"?>
<formControlPr xmlns="http://schemas.microsoft.com/office/spreadsheetml/2009/9/main" objectType="CheckBox" fmlaLink="$H$34" lockText="1" noThreeD="1"/>
</file>

<file path=xl/ctrlProps/ctrlProp22.xml><?xml version="1.0" encoding="utf-8"?>
<formControlPr xmlns="http://schemas.microsoft.com/office/spreadsheetml/2009/9/main" objectType="CheckBox" fmlaLink="$G$5" lockText="1" noThreeD="1"/>
</file>

<file path=xl/ctrlProps/ctrlProp23.xml><?xml version="1.0" encoding="utf-8"?>
<formControlPr xmlns="http://schemas.microsoft.com/office/spreadsheetml/2009/9/main" objectType="CheckBox" fmlaLink="$G$7" lockText="1" noThreeD="1"/>
</file>

<file path=xl/ctrlProps/ctrlProp24.xml><?xml version="1.0" encoding="utf-8"?>
<formControlPr xmlns="http://schemas.microsoft.com/office/spreadsheetml/2009/9/main" objectType="CheckBox" fmlaLink="$G$9" lockText="1" noThreeD="1"/>
</file>

<file path=xl/ctrlProps/ctrlProp25.xml><?xml version="1.0" encoding="utf-8"?>
<formControlPr xmlns="http://schemas.microsoft.com/office/spreadsheetml/2009/9/main" objectType="CheckBox" fmlaLink="$G$11" lockText="1" noThreeD="1"/>
</file>

<file path=xl/ctrlProps/ctrlProp26.xml><?xml version="1.0" encoding="utf-8"?>
<formControlPr xmlns="http://schemas.microsoft.com/office/spreadsheetml/2009/9/main" objectType="CheckBox" fmlaLink="$G$13" lockText="1" noThreeD="1"/>
</file>

<file path=xl/ctrlProps/ctrlProp27.xml><?xml version="1.0" encoding="utf-8"?>
<formControlPr xmlns="http://schemas.microsoft.com/office/spreadsheetml/2009/9/main" objectType="Drop" dropStyle="combo" dx="22" fmlaLink="$C$4" fmlaRange="$AQ$1:$AQ$3" noThreeD="1" sel="1" val="0"/>
</file>

<file path=xl/ctrlProps/ctrlProp28.xml><?xml version="1.0" encoding="utf-8"?>
<formControlPr xmlns="http://schemas.microsoft.com/office/spreadsheetml/2009/9/main" objectType="CheckBox" fmlaLink="$AC$7" lockText="1" noThreeD="1"/>
</file>

<file path=xl/ctrlProps/ctrlProp29.xml><?xml version="1.0" encoding="utf-8"?>
<formControlPr xmlns="http://schemas.microsoft.com/office/spreadsheetml/2009/9/main" objectType="CheckBox" fmlaLink="$AC$8" lockText="1" noThreeD="1"/>
</file>

<file path=xl/ctrlProps/ctrlProp3.xml><?xml version="1.0" encoding="utf-8"?>
<formControlPr xmlns="http://schemas.microsoft.com/office/spreadsheetml/2009/9/main" objectType="CheckBox" fmlaLink="$H$12" lockText="1" noThreeD="1"/>
</file>

<file path=xl/ctrlProps/ctrlProp30.xml><?xml version="1.0" encoding="utf-8"?>
<formControlPr xmlns="http://schemas.microsoft.com/office/spreadsheetml/2009/9/main" objectType="CheckBox" fmlaLink="$AC$9" lockText="1" noThreeD="1"/>
</file>

<file path=xl/ctrlProps/ctrlProp31.xml><?xml version="1.0" encoding="utf-8"?>
<formControlPr xmlns="http://schemas.microsoft.com/office/spreadsheetml/2009/9/main" objectType="CheckBox" fmlaLink="$AC$10" lockText="1" noThreeD="1"/>
</file>

<file path=xl/ctrlProps/ctrlProp32.xml><?xml version="1.0" encoding="utf-8"?>
<formControlPr xmlns="http://schemas.microsoft.com/office/spreadsheetml/2009/9/main" objectType="CheckBox" fmlaLink="$AC$11" lockText="1" noThreeD="1"/>
</file>

<file path=xl/ctrlProps/ctrlProp33.xml><?xml version="1.0" encoding="utf-8"?>
<formControlPr xmlns="http://schemas.microsoft.com/office/spreadsheetml/2009/9/main" objectType="CheckBox" fmlaLink="$AC$12" lockText="1" noThreeD="1"/>
</file>

<file path=xl/ctrlProps/ctrlProp34.xml><?xml version="1.0" encoding="utf-8"?>
<formControlPr xmlns="http://schemas.microsoft.com/office/spreadsheetml/2009/9/main" objectType="CheckBox" fmlaLink="$AC$13" lockText="1" noThreeD="1"/>
</file>

<file path=xl/ctrlProps/ctrlProp35.xml><?xml version="1.0" encoding="utf-8"?>
<formControlPr xmlns="http://schemas.microsoft.com/office/spreadsheetml/2009/9/main" objectType="CheckBox" fmlaLink="$AC$14" lockText="1" noThreeD="1"/>
</file>

<file path=xl/ctrlProps/ctrlProp36.xml><?xml version="1.0" encoding="utf-8"?>
<formControlPr xmlns="http://schemas.microsoft.com/office/spreadsheetml/2009/9/main" objectType="CheckBox" fmlaLink="$AC$15" lockText="1" noThreeD="1"/>
</file>

<file path=xl/ctrlProps/ctrlProp37.xml><?xml version="1.0" encoding="utf-8"?>
<formControlPr xmlns="http://schemas.microsoft.com/office/spreadsheetml/2009/9/main" objectType="CheckBox" fmlaLink="$AC$16" lockText="1" noThreeD="1"/>
</file>

<file path=xl/ctrlProps/ctrlProp38.xml><?xml version="1.0" encoding="utf-8"?>
<formControlPr xmlns="http://schemas.microsoft.com/office/spreadsheetml/2009/9/main" objectType="CheckBox" fmlaLink="$AC$17" lockText="1" noThreeD="1"/>
</file>

<file path=xl/ctrlProps/ctrlProp39.xml><?xml version="1.0" encoding="utf-8"?>
<formControlPr xmlns="http://schemas.microsoft.com/office/spreadsheetml/2009/9/main" objectType="CheckBox" fmlaLink="$AC$18" lockText="1" noThreeD="1"/>
</file>

<file path=xl/ctrlProps/ctrlProp4.xml><?xml version="1.0" encoding="utf-8"?>
<formControlPr xmlns="http://schemas.microsoft.com/office/spreadsheetml/2009/9/main" objectType="CheckBox" fmlaLink="$H$15" lockText="1" noThreeD="1"/>
</file>

<file path=xl/ctrlProps/ctrlProp40.xml><?xml version="1.0" encoding="utf-8"?>
<formControlPr xmlns="http://schemas.microsoft.com/office/spreadsheetml/2009/9/main" objectType="CheckBox" fmlaLink="$AC$19" lockText="1" noThreeD="1"/>
</file>

<file path=xl/ctrlProps/ctrlProp41.xml><?xml version="1.0" encoding="utf-8"?>
<formControlPr xmlns="http://schemas.microsoft.com/office/spreadsheetml/2009/9/main" objectType="CheckBox" fmlaLink="$AC$20" lockText="1" noThreeD="1"/>
</file>

<file path=xl/ctrlProps/ctrlProp42.xml><?xml version="1.0" encoding="utf-8"?>
<formControlPr xmlns="http://schemas.microsoft.com/office/spreadsheetml/2009/9/main" objectType="CheckBox" fmlaLink="$AC$21" lockText="1" noThreeD="1"/>
</file>

<file path=xl/ctrlProps/ctrlProp43.xml><?xml version="1.0" encoding="utf-8"?>
<formControlPr xmlns="http://schemas.microsoft.com/office/spreadsheetml/2009/9/main" objectType="CheckBox" fmlaLink="$AC$22" lockText="1" noThreeD="1"/>
</file>

<file path=xl/ctrlProps/ctrlProp44.xml><?xml version="1.0" encoding="utf-8"?>
<formControlPr xmlns="http://schemas.microsoft.com/office/spreadsheetml/2009/9/main" objectType="Drop" dropStyle="combo" dx="22" fmlaLink="$C$4" fmlaRange="$AQ$1:$AQ$3" noThreeD="1" sel="1" val="0"/>
</file>

<file path=xl/ctrlProps/ctrlProp45.xml><?xml version="1.0" encoding="utf-8"?>
<formControlPr xmlns="http://schemas.microsoft.com/office/spreadsheetml/2009/9/main" objectType="CheckBox" fmlaLink="$AC$7" lockText="1" noThreeD="1"/>
</file>

<file path=xl/ctrlProps/ctrlProp46.xml><?xml version="1.0" encoding="utf-8"?>
<formControlPr xmlns="http://schemas.microsoft.com/office/spreadsheetml/2009/9/main" objectType="CheckBox" fmlaLink="$AC$8" lockText="1" noThreeD="1"/>
</file>

<file path=xl/ctrlProps/ctrlProp47.xml><?xml version="1.0" encoding="utf-8"?>
<formControlPr xmlns="http://schemas.microsoft.com/office/spreadsheetml/2009/9/main" objectType="CheckBox" fmlaLink="$AC$9" lockText="1" noThreeD="1"/>
</file>

<file path=xl/ctrlProps/ctrlProp48.xml><?xml version="1.0" encoding="utf-8"?>
<formControlPr xmlns="http://schemas.microsoft.com/office/spreadsheetml/2009/9/main" objectType="CheckBox" fmlaLink="$AC$10" lockText="1" noThreeD="1"/>
</file>

<file path=xl/ctrlProps/ctrlProp49.xml><?xml version="1.0" encoding="utf-8"?>
<formControlPr xmlns="http://schemas.microsoft.com/office/spreadsheetml/2009/9/main" objectType="CheckBox" fmlaLink="$AC$11" lockText="1" noThreeD="1"/>
</file>

<file path=xl/ctrlProps/ctrlProp5.xml><?xml version="1.0" encoding="utf-8"?>
<formControlPr xmlns="http://schemas.microsoft.com/office/spreadsheetml/2009/9/main" objectType="CheckBox" fmlaLink="$H$19" lockText="1" noThreeD="1"/>
</file>

<file path=xl/ctrlProps/ctrlProp50.xml><?xml version="1.0" encoding="utf-8"?>
<formControlPr xmlns="http://schemas.microsoft.com/office/spreadsheetml/2009/9/main" objectType="CheckBox" fmlaLink="$AC$12" lockText="1" noThreeD="1"/>
</file>

<file path=xl/ctrlProps/ctrlProp51.xml><?xml version="1.0" encoding="utf-8"?>
<formControlPr xmlns="http://schemas.microsoft.com/office/spreadsheetml/2009/9/main" objectType="CheckBox" fmlaLink="$AC$13" lockText="1" noThreeD="1"/>
</file>

<file path=xl/ctrlProps/ctrlProp52.xml><?xml version="1.0" encoding="utf-8"?>
<formControlPr xmlns="http://schemas.microsoft.com/office/spreadsheetml/2009/9/main" objectType="CheckBox" fmlaLink="$AC$14" lockText="1" noThreeD="1"/>
</file>

<file path=xl/ctrlProps/ctrlProp53.xml><?xml version="1.0" encoding="utf-8"?>
<formControlPr xmlns="http://schemas.microsoft.com/office/spreadsheetml/2009/9/main" objectType="CheckBox" fmlaLink="$AC$15" lockText="1" noThreeD="1"/>
</file>

<file path=xl/ctrlProps/ctrlProp54.xml><?xml version="1.0" encoding="utf-8"?>
<formControlPr xmlns="http://schemas.microsoft.com/office/spreadsheetml/2009/9/main" objectType="CheckBox" fmlaLink="$AC$16" lockText="1" noThreeD="1"/>
</file>

<file path=xl/ctrlProps/ctrlProp55.xml><?xml version="1.0" encoding="utf-8"?>
<formControlPr xmlns="http://schemas.microsoft.com/office/spreadsheetml/2009/9/main" objectType="CheckBox" fmlaLink="$AC$17" lockText="1" noThreeD="1"/>
</file>

<file path=xl/ctrlProps/ctrlProp56.xml><?xml version="1.0" encoding="utf-8"?>
<formControlPr xmlns="http://schemas.microsoft.com/office/spreadsheetml/2009/9/main" objectType="CheckBox" fmlaLink="$AC$18" lockText="1" noThreeD="1"/>
</file>

<file path=xl/ctrlProps/ctrlProp57.xml><?xml version="1.0" encoding="utf-8"?>
<formControlPr xmlns="http://schemas.microsoft.com/office/spreadsheetml/2009/9/main" objectType="CheckBox" fmlaLink="$AC$19" lockText="1" noThreeD="1"/>
</file>

<file path=xl/ctrlProps/ctrlProp58.xml><?xml version="1.0" encoding="utf-8"?>
<formControlPr xmlns="http://schemas.microsoft.com/office/spreadsheetml/2009/9/main" objectType="CheckBox" fmlaLink="$AC$20" lockText="1" noThreeD="1"/>
</file>

<file path=xl/ctrlProps/ctrlProp59.xml><?xml version="1.0" encoding="utf-8"?>
<formControlPr xmlns="http://schemas.microsoft.com/office/spreadsheetml/2009/9/main" objectType="CheckBox" fmlaLink="$AC$21" lockText="1" noThreeD="1"/>
</file>

<file path=xl/ctrlProps/ctrlProp6.xml><?xml version="1.0" encoding="utf-8"?>
<formControlPr xmlns="http://schemas.microsoft.com/office/spreadsheetml/2009/9/main" objectType="CheckBox" fmlaLink="$H$22" lockText="1" noThreeD="1"/>
</file>

<file path=xl/ctrlProps/ctrlProp60.xml><?xml version="1.0" encoding="utf-8"?>
<formControlPr xmlns="http://schemas.microsoft.com/office/spreadsheetml/2009/9/main" objectType="CheckBox" fmlaLink="$AC$22" lockText="1" noThreeD="1"/>
</file>

<file path=xl/ctrlProps/ctrlProp61.xml><?xml version="1.0" encoding="utf-8"?>
<formControlPr xmlns="http://schemas.microsoft.com/office/spreadsheetml/2009/9/main" objectType="Drop" dropStyle="combo" dx="22" fmlaLink="$C$4" fmlaRange="$AQ$1:$AQ$3" noThreeD="1" sel="1" val="0"/>
</file>

<file path=xl/ctrlProps/ctrlProp62.xml><?xml version="1.0" encoding="utf-8"?>
<formControlPr xmlns="http://schemas.microsoft.com/office/spreadsheetml/2009/9/main" objectType="CheckBox" fmlaLink="$AC$7" lockText="1" noThreeD="1"/>
</file>

<file path=xl/ctrlProps/ctrlProp63.xml><?xml version="1.0" encoding="utf-8"?>
<formControlPr xmlns="http://schemas.microsoft.com/office/spreadsheetml/2009/9/main" objectType="CheckBox" fmlaLink="$AC$8" lockText="1" noThreeD="1"/>
</file>

<file path=xl/ctrlProps/ctrlProp64.xml><?xml version="1.0" encoding="utf-8"?>
<formControlPr xmlns="http://schemas.microsoft.com/office/spreadsheetml/2009/9/main" objectType="CheckBox" fmlaLink="$AC$9" lockText="1" noThreeD="1"/>
</file>

<file path=xl/ctrlProps/ctrlProp65.xml><?xml version="1.0" encoding="utf-8"?>
<formControlPr xmlns="http://schemas.microsoft.com/office/spreadsheetml/2009/9/main" objectType="CheckBox" fmlaLink="$AC$10" lockText="1" noThreeD="1"/>
</file>

<file path=xl/ctrlProps/ctrlProp66.xml><?xml version="1.0" encoding="utf-8"?>
<formControlPr xmlns="http://schemas.microsoft.com/office/spreadsheetml/2009/9/main" objectType="CheckBox" fmlaLink="$AC$11" lockText="1" noThreeD="1"/>
</file>

<file path=xl/ctrlProps/ctrlProp67.xml><?xml version="1.0" encoding="utf-8"?>
<formControlPr xmlns="http://schemas.microsoft.com/office/spreadsheetml/2009/9/main" objectType="CheckBox" fmlaLink="$AC$12" lockText="1" noThreeD="1"/>
</file>

<file path=xl/ctrlProps/ctrlProp68.xml><?xml version="1.0" encoding="utf-8"?>
<formControlPr xmlns="http://schemas.microsoft.com/office/spreadsheetml/2009/9/main" objectType="CheckBox" fmlaLink="$AC$13" lockText="1" noThreeD="1"/>
</file>

<file path=xl/ctrlProps/ctrlProp69.xml><?xml version="1.0" encoding="utf-8"?>
<formControlPr xmlns="http://schemas.microsoft.com/office/spreadsheetml/2009/9/main" objectType="CheckBox" fmlaLink="$AC$14" lockText="1" noThreeD="1"/>
</file>

<file path=xl/ctrlProps/ctrlProp7.xml><?xml version="1.0" encoding="utf-8"?>
<formControlPr xmlns="http://schemas.microsoft.com/office/spreadsheetml/2009/9/main" objectType="CheckBox" fmlaLink="$H$26" lockText="1" noThreeD="1"/>
</file>

<file path=xl/ctrlProps/ctrlProp70.xml><?xml version="1.0" encoding="utf-8"?>
<formControlPr xmlns="http://schemas.microsoft.com/office/spreadsheetml/2009/9/main" objectType="CheckBox" fmlaLink="$AC$15" lockText="1" noThreeD="1"/>
</file>

<file path=xl/ctrlProps/ctrlProp71.xml><?xml version="1.0" encoding="utf-8"?>
<formControlPr xmlns="http://schemas.microsoft.com/office/spreadsheetml/2009/9/main" objectType="CheckBox" fmlaLink="$AC$16" lockText="1" noThreeD="1"/>
</file>

<file path=xl/ctrlProps/ctrlProp72.xml><?xml version="1.0" encoding="utf-8"?>
<formControlPr xmlns="http://schemas.microsoft.com/office/spreadsheetml/2009/9/main" objectType="CheckBox" fmlaLink="$AC$17" lockText="1" noThreeD="1"/>
</file>

<file path=xl/ctrlProps/ctrlProp73.xml><?xml version="1.0" encoding="utf-8"?>
<formControlPr xmlns="http://schemas.microsoft.com/office/spreadsheetml/2009/9/main" objectType="CheckBox" fmlaLink="$AC$18" lockText="1" noThreeD="1"/>
</file>

<file path=xl/ctrlProps/ctrlProp74.xml><?xml version="1.0" encoding="utf-8"?>
<formControlPr xmlns="http://schemas.microsoft.com/office/spreadsheetml/2009/9/main" objectType="CheckBox" fmlaLink="$AC$19" lockText="1" noThreeD="1"/>
</file>

<file path=xl/ctrlProps/ctrlProp75.xml><?xml version="1.0" encoding="utf-8"?>
<formControlPr xmlns="http://schemas.microsoft.com/office/spreadsheetml/2009/9/main" objectType="CheckBox" fmlaLink="$AC$20" lockText="1" noThreeD="1"/>
</file>

<file path=xl/ctrlProps/ctrlProp76.xml><?xml version="1.0" encoding="utf-8"?>
<formControlPr xmlns="http://schemas.microsoft.com/office/spreadsheetml/2009/9/main" objectType="CheckBox" fmlaLink="$AC$21" lockText="1" noThreeD="1"/>
</file>

<file path=xl/ctrlProps/ctrlProp77.xml><?xml version="1.0" encoding="utf-8"?>
<formControlPr xmlns="http://schemas.microsoft.com/office/spreadsheetml/2009/9/main" objectType="CheckBox" fmlaLink="$AC$22" lockText="1" noThreeD="1"/>
</file>

<file path=xl/ctrlProps/ctrlProp78.xml><?xml version="1.0" encoding="utf-8"?>
<formControlPr xmlns="http://schemas.microsoft.com/office/spreadsheetml/2009/9/main" objectType="Drop" dropStyle="combo" dx="22" fmlaLink="$C$4" fmlaRange="$AQ$1:$AQ$3" noThreeD="1" sel="1" val="0"/>
</file>

<file path=xl/ctrlProps/ctrlProp79.xml><?xml version="1.0" encoding="utf-8"?>
<formControlPr xmlns="http://schemas.microsoft.com/office/spreadsheetml/2009/9/main" objectType="CheckBox" fmlaLink="$AC$7" lockText="1" noThreeD="1"/>
</file>

<file path=xl/ctrlProps/ctrlProp8.xml><?xml version="1.0" encoding="utf-8"?>
<formControlPr xmlns="http://schemas.microsoft.com/office/spreadsheetml/2009/9/main" objectType="CheckBox" fmlaLink="$F$8" lockText="1" noThreeD="1"/>
</file>

<file path=xl/ctrlProps/ctrlProp80.xml><?xml version="1.0" encoding="utf-8"?>
<formControlPr xmlns="http://schemas.microsoft.com/office/spreadsheetml/2009/9/main" objectType="CheckBox" fmlaLink="$AC$8" lockText="1" noThreeD="1"/>
</file>

<file path=xl/ctrlProps/ctrlProp81.xml><?xml version="1.0" encoding="utf-8"?>
<formControlPr xmlns="http://schemas.microsoft.com/office/spreadsheetml/2009/9/main" objectType="CheckBox" fmlaLink="$AC$9" lockText="1" noThreeD="1"/>
</file>

<file path=xl/ctrlProps/ctrlProp82.xml><?xml version="1.0" encoding="utf-8"?>
<formControlPr xmlns="http://schemas.microsoft.com/office/spreadsheetml/2009/9/main" objectType="CheckBox" fmlaLink="$AC$10" lockText="1" noThreeD="1"/>
</file>

<file path=xl/ctrlProps/ctrlProp83.xml><?xml version="1.0" encoding="utf-8"?>
<formControlPr xmlns="http://schemas.microsoft.com/office/spreadsheetml/2009/9/main" objectType="CheckBox" fmlaLink="$AC$11" lockText="1" noThreeD="1"/>
</file>

<file path=xl/ctrlProps/ctrlProp84.xml><?xml version="1.0" encoding="utf-8"?>
<formControlPr xmlns="http://schemas.microsoft.com/office/spreadsheetml/2009/9/main" objectType="CheckBox" fmlaLink="$AC$12" lockText="1" noThreeD="1"/>
</file>

<file path=xl/ctrlProps/ctrlProp85.xml><?xml version="1.0" encoding="utf-8"?>
<formControlPr xmlns="http://schemas.microsoft.com/office/spreadsheetml/2009/9/main" objectType="CheckBox" fmlaLink="$AC$13" lockText="1" noThreeD="1"/>
</file>

<file path=xl/ctrlProps/ctrlProp86.xml><?xml version="1.0" encoding="utf-8"?>
<formControlPr xmlns="http://schemas.microsoft.com/office/spreadsheetml/2009/9/main" objectType="CheckBox" fmlaLink="$AC$14" lockText="1" noThreeD="1"/>
</file>

<file path=xl/ctrlProps/ctrlProp87.xml><?xml version="1.0" encoding="utf-8"?>
<formControlPr xmlns="http://schemas.microsoft.com/office/spreadsheetml/2009/9/main" objectType="CheckBox" fmlaLink="$AC$15" lockText="1" noThreeD="1"/>
</file>

<file path=xl/ctrlProps/ctrlProp88.xml><?xml version="1.0" encoding="utf-8"?>
<formControlPr xmlns="http://schemas.microsoft.com/office/spreadsheetml/2009/9/main" objectType="CheckBox" fmlaLink="$AC$16" lockText="1" noThreeD="1"/>
</file>

<file path=xl/ctrlProps/ctrlProp89.xml><?xml version="1.0" encoding="utf-8"?>
<formControlPr xmlns="http://schemas.microsoft.com/office/spreadsheetml/2009/9/main" objectType="CheckBox" fmlaLink="$AC$17" lockText="1" noThreeD="1"/>
</file>

<file path=xl/ctrlProps/ctrlProp9.xml><?xml version="1.0" encoding="utf-8"?>
<formControlPr xmlns="http://schemas.microsoft.com/office/spreadsheetml/2009/9/main" objectType="CheckBox" fmlaLink="$H$16" lockText="1" noThreeD="1"/>
</file>

<file path=xl/ctrlProps/ctrlProp90.xml><?xml version="1.0" encoding="utf-8"?>
<formControlPr xmlns="http://schemas.microsoft.com/office/spreadsheetml/2009/9/main" objectType="CheckBox" fmlaLink="$AC$18" lockText="1" noThreeD="1"/>
</file>

<file path=xl/ctrlProps/ctrlProp91.xml><?xml version="1.0" encoding="utf-8"?>
<formControlPr xmlns="http://schemas.microsoft.com/office/spreadsheetml/2009/9/main" objectType="CheckBox" fmlaLink="$AC$19" lockText="1" noThreeD="1"/>
</file>

<file path=xl/ctrlProps/ctrlProp92.xml><?xml version="1.0" encoding="utf-8"?>
<formControlPr xmlns="http://schemas.microsoft.com/office/spreadsheetml/2009/9/main" objectType="CheckBox" fmlaLink="$AC$20" lockText="1" noThreeD="1"/>
</file>

<file path=xl/ctrlProps/ctrlProp93.xml><?xml version="1.0" encoding="utf-8"?>
<formControlPr xmlns="http://schemas.microsoft.com/office/spreadsheetml/2009/9/main" objectType="CheckBox" fmlaLink="$AC$21" lockText="1" noThreeD="1"/>
</file>

<file path=xl/ctrlProps/ctrlProp94.xml><?xml version="1.0" encoding="utf-8"?>
<formControlPr xmlns="http://schemas.microsoft.com/office/spreadsheetml/2009/9/main" objectType="CheckBox" fmlaLink="$AC$22" lockText="1" noThreeD="1"/>
</file>

<file path=xl/ctrlProps/ctrlProp95.xml><?xml version="1.0" encoding="utf-8"?>
<formControlPr xmlns="http://schemas.microsoft.com/office/spreadsheetml/2009/9/main" objectType="Drop" dropLines="11" dropStyle="combo" dx="31" fmlaLink="$C$4" fmlaRange="$AE$1:$AE$10" noThreeD="1" sel="1" val="0"/>
</file>

<file path=xl/ctrlProps/ctrlProp96.xml><?xml version="1.0" encoding="utf-8"?>
<formControlPr xmlns="http://schemas.microsoft.com/office/spreadsheetml/2009/9/main" objectType="Drop" dropStyle="combo" dx="22" fmlaLink="$H$14" fmlaRange="$AC$1:$AC$3" noThreeD="1" sel="1" val="0"/>
</file>

<file path=xl/ctrlProps/ctrlProp97.xml><?xml version="1.0" encoding="utf-8"?>
<formControlPr xmlns="http://schemas.microsoft.com/office/spreadsheetml/2009/9/main" objectType="Drop" dropStyle="combo" dx="22" fmlaLink="$I$7" fmlaRange="$AC$1:$AC$3" noThreeD="1" sel="1" val="0"/>
</file>

<file path=xl/ctrlProps/ctrlProp98.xml><?xml version="1.0" encoding="utf-8"?>
<formControlPr xmlns="http://schemas.microsoft.com/office/spreadsheetml/2009/9/main" objectType="Drop" dropStyle="combo" dx="22" fmlaLink="$F$15" fmlaRange="$AC$1:$AC$4" noThreeD="1" sel="1" val="0"/>
</file>

<file path=xl/ctrlProps/ctrlProp99.xml><?xml version="1.0" encoding="utf-8"?>
<formControlPr xmlns="http://schemas.microsoft.com/office/spreadsheetml/2009/9/main" objectType="Drop" dropStyle="combo" dx="22" fmlaLink="$L$4" fmlaRange="$AC$1:$AC$4"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heet1!A1"/></Relationships>
</file>

<file path=xl/drawings/drawing1.xml><?xml version="1.0" encoding="utf-8"?>
<xdr:wsDr xmlns:xdr="http://schemas.openxmlformats.org/drawingml/2006/spreadsheetDrawing" xmlns:a="http://schemas.openxmlformats.org/drawingml/2006/main">
  <xdr:twoCellAnchor editAs="oneCell">
    <xdr:from>
      <xdr:col>11</xdr:col>
      <xdr:colOff>597808</xdr:colOff>
      <xdr:row>29</xdr:row>
      <xdr:rowOff>126886</xdr:rowOff>
    </xdr:from>
    <xdr:to>
      <xdr:col>13</xdr:col>
      <xdr:colOff>504142</xdr:colOff>
      <xdr:row>31</xdr:row>
      <xdr:rowOff>79260</xdr:rowOff>
    </xdr:to>
    <xdr:pic>
      <xdr:nvPicPr>
        <xdr:cNvPr id="3" name="Picture 2" descr="UpToDate">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8511" y="5651386"/>
          <a:ext cx="1275553" cy="333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676275</xdr:colOff>
          <xdr:row>13</xdr:row>
          <xdr:rowOff>180975</xdr:rowOff>
        </xdr:from>
        <xdr:to>
          <xdr:col>7</xdr:col>
          <xdr:colOff>352425</xdr:colOff>
          <xdr:row>15</xdr:row>
          <xdr:rowOff>19050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3</xdr:row>
          <xdr:rowOff>9525</xdr:rowOff>
        </xdr:from>
        <xdr:to>
          <xdr:col>13</xdr:col>
          <xdr:colOff>333375</xdr:colOff>
          <xdr:row>4</xdr:row>
          <xdr:rowOff>19050</xdr:rowOff>
        </xdr:to>
        <xdr:sp macro="" textlink="">
          <xdr:nvSpPr>
            <xdr:cNvPr id="13313" name="Drop Down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4</xdr:row>
          <xdr:rowOff>180975</xdr:rowOff>
        </xdr:from>
        <xdr:to>
          <xdr:col>8</xdr:col>
          <xdr:colOff>285750</xdr:colOff>
          <xdr:row>6</xdr:row>
          <xdr:rowOff>0</xdr:rowOff>
        </xdr:to>
        <xdr:sp macro="" textlink="">
          <xdr:nvSpPr>
            <xdr:cNvPr id="13315" name="Drop Down 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676275</xdr:colOff>
          <xdr:row>6</xdr:row>
          <xdr:rowOff>180975</xdr:rowOff>
        </xdr:from>
        <xdr:to>
          <xdr:col>8</xdr:col>
          <xdr:colOff>285750</xdr:colOff>
          <xdr:row>8</xdr:row>
          <xdr:rowOff>0</xdr:rowOff>
        </xdr:to>
        <xdr:sp macro="" textlink="">
          <xdr:nvSpPr>
            <xdr:cNvPr id="13316" name="Drop Down 4" hidden="1">
              <a:extLst>
                <a:ext uri="{63B3BB69-23CF-44E3-9099-C40C66FF867C}">
                  <a14:compatExt spid="_x0000_s13316"/>
                </a:ext>
                <a:ext uri="{FF2B5EF4-FFF2-40B4-BE49-F238E27FC236}">
                  <a16:creationId xmlns:a16="http://schemas.microsoft.com/office/drawing/2014/main" id="{00000000-0008-0000-0B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3</xdr:row>
          <xdr:rowOff>171450</xdr:rowOff>
        </xdr:from>
        <xdr:to>
          <xdr:col>12</xdr:col>
          <xdr:colOff>123825</xdr:colOff>
          <xdr:row>5</xdr:row>
          <xdr:rowOff>38100</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676275</xdr:colOff>
          <xdr:row>9</xdr:row>
          <xdr:rowOff>0</xdr:rowOff>
        </xdr:from>
        <xdr:to>
          <xdr:col>10</xdr:col>
          <xdr:colOff>190500</xdr:colOff>
          <xdr:row>10</xdr:row>
          <xdr:rowOff>28575</xdr:rowOff>
        </xdr:to>
        <xdr:sp macro="" textlink="">
          <xdr:nvSpPr>
            <xdr:cNvPr id="14338" name="Drop Down 2" hidden="1">
              <a:extLst>
                <a:ext uri="{63B3BB69-23CF-44E3-9099-C40C66FF867C}">
                  <a14:compatExt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3</xdr:row>
          <xdr:rowOff>9525</xdr:rowOff>
        </xdr:from>
        <xdr:to>
          <xdr:col>5</xdr:col>
          <xdr:colOff>514350</xdr:colOff>
          <xdr:row>3</xdr:row>
          <xdr:rowOff>171450</xdr:rowOff>
        </xdr:to>
        <xdr:sp macro="" textlink="">
          <xdr:nvSpPr>
            <xdr:cNvPr id="15361" name="Drop Down 1" hidden="1">
              <a:extLst>
                <a:ext uri="{63B3BB69-23CF-44E3-9099-C40C66FF867C}">
                  <a14:compatExt spid="_x0000_s15361"/>
                </a:ext>
                <a:ext uri="{FF2B5EF4-FFF2-40B4-BE49-F238E27FC236}">
                  <a16:creationId xmlns:a16="http://schemas.microsoft.com/office/drawing/2014/main" id="{00000000-0008-0000-0D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xdr:row>
          <xdr:rowOff>19050</xdr:rowOff>
        </xdr:from>
        <xdr:to>
          <xdr:col>13</xdr:col>
          <xdr:colOff>28575</xdr:colOff>
          <xdr:row>2</xdr:row>
          <xdr:rowOff>28575</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419100</xdr:colOff>
          <xdr:row>10</xdr:row>
          <xdr:rowOff>0</xdr:rowOff>
        </xdr:from>
        <xdr:to>
          <xdr:col>7</xdr:col>
          <xdr:colOff>390525</xdr:colOff>
          <xdr:row>11</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0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10</xdr:row>
          <xdr:rowOff>371474</xdr:rowOff>
        </xdr:from>
        <xdr:to>
          <xdr:col>7</xdr:col>
          <xdr:colOff>466725</xdr:colOff>
          <xdr:row>11</xdr:row>
          <xdr:rowOff>371474</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-10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428626</xdr:colOff>
          <xdr:row>13</xdr:row>
          <xdr:rowOff>361950</xdr:rowOff>
        </xdr:from>
        <xdr:to>
          <xdr:col>7</xdr:col>
          <xdr:colOff>466726</xdr:colOff>
          <xdr:row>14</xdr:row>
          <xdr:rowOff>381000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30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18</xdr:row>
          <xdr:rowOff>19050</xdr:rowOff>
        </xdr:from>
        <xdr:to>
          <xdr:col>7</xdr:col>
          <xdr:colOff>485775</xdr:colOff>
          <xdr:row>18</xdr:row>
          <xdr:rowOff>371475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10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466726</xdr:colOff>
          <xdr:row>21</xdr:row>
          <xdr:rowOff>19050</xdr:rowOff>
        </xdr:from>
        <xdr:to>
          <xdr:col>7</xdr:col>
          <xdr:colOff>504826</xdr:colOff>
          <xdr:row>21</xdr:row>
          <xdr:rowOff>381000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20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25</xdr:row>
          <xdr:rowOff>9525</xdr:rowOff>
        </xdr:from>
        <xdr:to>
          <xdr:col>7</xdr:col>
          <xdr:colOff>504825</xdr:colOff>
          <xdr:row>25</xdr:row>
          <xdr:rowOff>381000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10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6</xdr:row>
          <xdr:rowOff>219075</xdr:rowOff>
        </xdr:from>
        <xdr:to>
          <xdr:col>5</xdr:col>
          <xdr:colOff>542925</xdr:colOff>
          <xdr:row>8</xdr:row>
          <xdr:rowOff>38100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10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15</xdr:row>
          <xdr:rowOff>9525</xdr:rowOff>
        </xdr:from>
        <xdr:to>
          <xdr:col>7</xdr:col>
          <xdr:colOff>495300</xdr:colOff>
          <xdr:row>15</xdr:row>
          <xdr:rowOff>381001</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20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428626</xdr:colOff>
          <xdr:row>15</xdr:row>
          <xdr:rowOff>381000</xdr:rowOff>
        </xdr:from>
        <xdr:to>
          <xdr:col>7</xdr:col>
          <xdr:colOff>485776</xdr:colOff>
          <xdr:row>16</xdr:row>
          <xdr:rowOff>381000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10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17</xdr:row>
          <xdr:rowOff>9525</xdr:rowOff>
        </xdr:from>
        <xdr:to>
          <xdr:col>7</xdr:col>
          <xdr:colOff>485775</xdr:colOff>
          <xdr:row>17</xdr:row>
          <xdr:rowOff>381001</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10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22</xdr:row>
          <xdr:rowOff>0</xdr:rowOff>
        </xdr:from>
        <xdr:to>
          <xdr:col>7</xdr:col>
          <xdr:colOff>504825</xdr:colOff>
          <xdr:row>22</xdr:row>
          <xdr:rowOff>381000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20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23</xdr:row>
          <xdr:rowOff>9525</xdr:rowOff>
        </xdr:from>
        <xdr:to>
          <xdr:col>7</xdr:col>
          <xdr:colOff>504825</xdr:colOff>
          <xdr:row>23</xdr:row>
          <xdr:rowOff>371475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20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24</xdr:row>
          <xdr:rowOff>19049</xdr:rowOff>
        </xdr:from>
        <xdr:to>
          <xdr:col>7</xdr:col>
          <xdr:colOff>504825</xdr:colOff>
          <xdr:row>24</xdr:row>
          <xdr:rowOff>390524</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15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28</xdr:row>
          <xdr:rowOff>19049</xdr:rowOff>
        </xdr:from>
        <xdr:to>
          <xdr:col>7</xdr:col>
          <xdr:colOff>495300</xdr:colOff>
          <xdr:row>28</xdr:row>
          <xdr:rowOff>352424</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30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34</xdr:row>
          <xdr:rowOff>9525</xdr:rowOff>
        </xdr:from>
        <xdr:to>
          <xdr:col>7</xdr:col>
          <xdr:colOff>485775</xdr:colOff>
          <xdr:row>34</xdr:row>
          <xdr:rowOff>381000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10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476251</xdr:colOff>
          <xdr:row>29</xdr:row>
          <xdr:rowOff>9525</xdr:rowOff>
        </xdr:from>
        <xdr:to>
          <xdr:col>7</xdr:col>
          <xdr:colOff>495301</xdr:colOff>
          <xdr:row>29</xdr:row>
          <xdr:rowOff>333375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20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30</xdr:row>
          <xdr:rowOff>28574</xdr:rowOff>
        </xdr:from>
        <xdr:to>
          <xdr:col>7</xdr:col>
          <xdr:colOff>504825</xdr:colOff>
          <xdr:row>30</xdr:row>
          <xdr:rowOff>409575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20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31</xdr:row>
          <xdr:rowOff>9525</xdr:rowOff>
        </xdr:from>
        <xdr:to>
          <xdr:col>7</xdr:col>
          <xdr:colOff>504825</xdr:colOff>
          <xdr:row>31</xdr:row>
          <xdr:rowOff>390525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10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476251</xdr:colOff>
          <xdr:row>32</xdr:row>
          <xdr:rowOff>0</xdr:rowOff>
        </xdr:from>
        <xdr:to>
          <xdr:col>7</xdr:col>
          <xdr:colOff>495301</xdr:colOff>
          <xdr:row>32</xdr:row>
          <xdr:rowOff>419100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10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33</xdr:row>
          <xdr:rowOff>19049</xdr:rowOff>
        </xdr:from>
        <xdr:to>
          <xdr:col>7</xdr:col>
          <xdr:colOff>495300</xdr:colOff>
          <xdr:row>34</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10 ქულა</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657225</xdr:colOff>
          <xdr:row>3</xdr:row>
          <xdr:rowOff>190500</xdr:rowOff>
        </xdr:from>
        <xdr:to>
          <xdr:col>6</xdr:col>
          <xdr:colOff>666750</xdr:colOff>
          <xdr:row>5</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1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5</xdr:row>
          <xdr:rowOff>152400</xdr:rowOff>
        </xdr:from>
        <xdr:to>
          <xdr:col>7</xdr:col>
          <xdr:colOff>28575</xdr:colOff>
          <xdr:row>6</xdr:row>
          <xdr:rowOff>361950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1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7</xdr:row>
          <xdr:rowOff>171450</xdr:rowOff>
        </xdr:from>
        <xdr:to>
          <xdr:col>7</xdr:col>
          <xdr:colOff>9525</xdr:colOff>
          <xdr:row>9</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1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676275</xdr:colOff>
          <xdr:row>9</xdr:row>
          <xdr:rowOff>180975</xdr:rowOff>
        </xdr:from>
        <xdr:to>
          <xdr:col>6</xdr:col>
          <xdr:colOff>657225</xdr:colOff>
          <xdr:row>11</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1 ქულა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11</xdr:row>
          <xdr:rowOff>180975</xdr:rowOff>
        </xdr:from>
        <xdr:to>
          <xdr:col>6</xdr:col>
          <xdr:colOff>657225</xdr:colOff>
          <xdr:row>13</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  1 ქულა</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3</xdr:row>
          <xdr:rowOff>9525</xdr:rowOff>
        </xdr:from>
        <xdr:to>
          <xdr:col>13</xdr:col>
          <xdr:colOff>628650</xdr:colOff>
          <xdr:row>4</xdr:row>
          <xdr:rowOff>19050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5</xdr:row>
          <xdr:rowOff>180975</xdr:rowOff>
        </xdr:from>
        <xdr:to>
          <xdr:col>1</xdr:col>
          <xdr:colOff>533400</xdr:colOff>
          <xdr:row>7</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6</xdr:row>
          <xdr:rowOff>180975</xdr:rowOff>
        </xdr:from>
        <xdr:to>
          <xdr:col>1</xdr:col>
          <xdr:colOff>533400</xdr:colOff>
          <xdr:row>8</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7</xdr:row>
          <xdr:rowOff>180975</xdr:rowOff>
        </xdr:from>
        <xdr:to>
          <xdr:col>1</xdr:col>
          <xdr:colOff>533400</xdr:colOff>
          <xdr:row>9</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8</xdr:row>
          <xdr:rowOff>180975</xdr:rowOff>
        </xdr:from>
        <xdr:to>
          <xdr:col>1</xdr:col>
          <xdr:colOff>533400</xdr:colOff>
          <xdr:row>10</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10</xdr:row>
          <xdr:rowOff>19050</xdr:rowOff>
        </xdr:from>
        <xdr:to>
          <xdr:col>1</xdr:col>
          <xdr:colOff>533400</xdr:colOff>
          <xdr:row>11</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11</xdr:row>
          <xdr:rowOff>19050</xdr:rowOff>
        </xdr:from>
        <xdr:to>
          <xdr:col>1</xdr:col>
          <xdr:colOff>533400</xdr:colOff>
          <xdr:row>12</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12</xdr:row>
          <xdr:rowOff>19050</xdr:rowOff>
        </xdr:from>
        <xdr:to>
          <xdr:col>1</xdr:col>
          <xdr:colOff>533400</xdr:colOff>
          <xdr:row>13</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13</xdr:row>
          <xdr:rowOff>19050</xdr:rowOff>
        </xdr:from>
        <xdr:to>
          <xdr:col>1</xdr:col>
          <xdr:colOff>533400</xdr:colOff>
          <xdr:row>14</xdr:row>
          <xdr:rowOff>38100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14</xdr:row>
          <xdr:rowOff>19050</xdr:rowOff>
        </xdr:from>
        <xdr:to>
          <xdr:col>1</xdr:col>
          <xdr:colOff>533400</xdr:colOff>
          <xdr:row>15</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15</xdr:row>
          <xdr:rowOff>19050</xdr:rowOff>
        </xdr:from>
        <xdr:to>
          <xdr:col>1</xdr:col>
          <xdr:colOff>533400</xdr:colOff>
          <xdr:row>16</xdr:row>
          <xdr:rowOff>38100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16</xdr:row>
          <xdr:rowOff>19050</xdr:rowOff>
        </xdr:from>
        <xdr:to>
          <xdr:col>1</xdr:col>
          <xdr:colOff>533400</xdr:colOff>
          <xdr:row>17</xdr:row>
          <xdr:rowOff>38100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17</xdr:row>
          <xdr:rowOff>19050</xdr:rowOff>
        </xdr:from>
        <xdr:to>
          <xdr:col>1</xdr:col>
          <xdr:colOff>533400</xdr:colOff>
          <xdr:row>18</xdr:row>
          <xdr:rowOff>38100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18</xdr:row>
          <xdr:rowOff>28575</xdr:rowOff>
        </xdr:from>
        <xdr:to>
          <xdr:col>1</xdr:col>
          <xdr:colOff>533400</xdr:colOff>
          <xdr:row>19</xdr:row>
          <xdr:rowOff>47625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19</xdr:row>
          <xdr:rowOff>28575</xdr:rowOff>
        </xdr:from>
        <xdr:to>
          <xdr:col>1</xdr:col>
          <xdr:colOff>533400</xdr:colOff>
          <xdr:row>20</xdr:row>
          <xdr:rowOff>47625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20</xdr:row>
          <xdr:rowOff>28575</xdr:rowOff>
        </xdr:from>
        <xdr:to>
          <xdr:col>1</xdr:col>
          <xdr:colOff>533400</xdr:colOff>
          <xdr:row>21</xdr:row>
          <xdr:rowOff>47625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21</xdr:row>
          <xdr:rowOff>28575</xdr:rowOff>
        </xdr:from>
        <xdr:to>
          <xdr:col>1</xdr:col>
          <xdr:colOff>533400</xdr:colOff>
          <xdr:row>22</xdr:row>
          <xdr:rowOff>47625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3</xdr:row>
          <xdr:rowOff>9525</xdr:rowOff>
        </xdr:from>
        <xdr:to>
          <xdr:col>14</xdr:col>
          <xdr:colOff>0</xdr:colOff>
          <xdr:row>4</xdr:row>
          <xdr:rowOff>19050</xdr:rowOff>
        </xdr:to>
        <xdr:sp macro="" textlink="">
          <xdr:nvSpPr>
            <xdr:cNvPr id="6145" name="Drop Down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5</xdr:row>
          <xdr:rowOff>180975</xdr:rowOff>
        </xdr:from>
        <xdr:to>
          <xdr:col>1</xdr:col>
          <xdr:colOff>533400</xdr:colOff>
          <xdr:row>7</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6</xdr:row>
          <xdr:rowOff>180975</xdr:rowOff>
        </xdr:from>
        <xdr:to>
          <xdr:col>1</xdr:col>
          <xdr:colOff>533400</xdr:colOff>
          <xdr:row>8</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6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7</xdr:row>
          <xdr:rowOff>180975</xdr:rowOff>
        </xdr:from>
        <xdr:to>
          <xdr:col>1</xdr:col>
          <xdr:colOff>533400</xdr:colOff>
          <xdr:row>9</xdr:row>
          <xdr:rowOff>9525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6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8</xdr:row>
          <xdr:rowOff>180975</xdr:rowOff>
        </xdr:from>
        <xdr:to>
          <xdr:col>1</xdr:col>
          <xdr:colOff>533400</xdr:colOff>
          <xdr:row>10</xdr:row>
          <xdr:rowOff>9525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6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10</xdr:row>
          <xdr:rowOff>19050</xdr:rowOff>
        </xdr:from>
        <xdr:to>
          <xdr:col>1</xdr:col>
          <xdr:colOff>533400</xdr:colOff>
          <xdr:row>11</xdr:row>
          <xdr:rowOff>38100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6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11</xdr:row>
          <xdr:rowOff>19050</xdr:rowOff>
        </xdr:from>
        <xdr:to>
          <xdr:col>1</xdr:col>
          <xdr:colOff>533400</xdr:colOff>
          <xdr:row>12</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6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12</xdr:row>
          <xdr:rowOff>19050</xdr:rowOff>
        </xdr:from>
        <xdr:to>
          <xdr:col>1</xdr:col>
          <xdr:colOff>533400</xdr:colOff>
          <xdr:row>13</xdr:row>
          <xdr:rowOff>38100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6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13</xdr:row>
          <xdr:rowOff>19050</xdr:rowOff>
        </xdr:from>
        <xdr:to>
          <xdr:col>1</xdr:col>
          <xdr:colOff>533400</xdr:colOff>
          <xdr:row>14</xdr:row>
          <xdr:rowOff>38100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6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14</xdr:row>
          <xdr:rowOff>19050</xdr:rowOff>
        </xdr:from>
        <xdr:to>
          <xdr:col>1</xdr:col>
          <xdr:colOff>533400</xdr:colOff>
          <xdr:row>15</xdr:row>
          <xdr:rowOff>38100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6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15</xdr:row>
          <xdr:rowOff>19050</xdr:rowOff>
        </xdr:from>
        <xdr:to>
          <xdr:col>1</xdr:col>
          <xdr:colOff>533400</xdr:colOff>
          <xdr:row>16</xdr:row>
          <xdr:rowOff>38100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6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16</xdr:row>
          <xdr:rowOff>19050</xdr:rowOff>
        </xdr:from>
        <xdr:to>
          <xdr:col>1</xdr:col>
          <xdr:colOff>533400</xdr:colOff>
          <xdr:row>17</xdr:row>
          <xdr:rowOff>38100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6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17</xdr:row>
          <xdr:rowOff>19050</xdr:rowOff>
        </xdr:from>
        <xdr:to>
          <xdr:col>1</xdr:col>
          <xdr:colOff>533400</xdr:colOff>
          <xdr:row>18</xdr:row>
          <xdr:rowOff>38100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6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18</xdr:row>
          <xdr:rowOff>28575</xdr:rowOff>
        </xdr:from>
        <xdr:to>
          <xdr:col>1</xdr:col>
          <xdr:colOff>533400</xdr:colOff>
          <xdr:row>19</xdr:row>
          <xdr:rowOff>47625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6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19</xdr:row>
          <xdr:rowOff>28575</xdr:rowOff>
        </xdr:from>
        <xdr:to>
          <xdr:col>1</xdr:col>
          <xdr:colOff>533400</xdr:colOff>
          <xdr:row>20</xdr:row>
          <xdr:rowOff>47625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6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20</xdr:row>
          <xdr:rowOff>28575</xdr:rowOff>
        </xdr:from>
        <xdr:to>
          <xdr:col>1</xdr:col>
          <xdr:colOff>533400</xdr:colOff>
          <xdr:row>21</xdr:row>
          <xdr:rowOff>47625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6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21</xdr:row>
          <xdr:rowOff>28575</xdr:rowOff>
        </xdr:from>
        <xdr:to>
          <xdr:col>1</xdr:col>
          <xdr:colOff>533400</xdr:colOff>
          <xdr:row>22</xdr:row>
          <xdr:rowOff>47625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6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xdr:row>
          <xdr:rowOff>9525</xdr:rowOff>
        </xdr:from>
        <xdr:to>
          <xdr:col>14</xdr:col>
          <xdr:colOff>0</xdr:colOff>
          <xdr:row>4</xdr:row>
          <xdr:rowOff>19050</xdr:rowOff>
        </xdr:to>
        <xdr:sp macro="" textlink="">
          <xdr:nvSpPr>
            <xdr:cNvPr id="6162" name="Drop Down 18" hidden="1">
              <a:extLst>
                <a:ext uri="{63B3BB69-23CF-44E3-9099-C40C66FF867C}">
                  <a14:compatExt spid="_x0000_s6162"/>
                </a:ext>
                <a:ext uri="{FF2B5EF4-FFF2-40B4-BE49-F238E27FC236}">
                  <a16:creationId xmlns:a16="http://schemas.microsoft.com/office/drawing/2014/main" id="{00000000-0008-0000-06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5</xdr:row>
          <xdr:rowOff>180975</xdr:rowOff>
        </xdr:from>
        <xdr:to>
          <xdr:col>1</xdr:col>
          <xdr:colOff>533400</xdr:colOff>
          <xdr:row>7</xdr:row>
          <xdr:rowOff>9525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6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6</xdr:row>
          <xdr:rowOff>180975</xdr:rowOff>
        </xdr:from>
        <xdr:to>
          <xdr:col>1</xdr:col>
          <xdr:colOff>533400</xdr:colOff>
          <xdr:row>8</xdr:row>
          <xdr:rowOff>9525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6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7</xdr:row>
          <xdr:rowOff>180975</xdr:rowOff>
        </xdr:from>
        <xdr:to>
          <xdr:col>1</xdr:col>
          <xdr:colOff>533400</xdr:colOff>
          <xdr:row>9</xdr:row>
          <xdr:rowOff>9525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6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8</xdr:row>
          <xdr:rowOff>180975</xdr:rowOff>
        </xdr:from>
        <xdr:to>
          <xdr:col>1</xdr:col>
          <xdr:colOff>533400</xdr:colOff>
          <xdr:row>10</xdr:row>
          <xdr:rowOff>9525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6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10</xdr:row>
          <xdr:rowOff>19050</xdr:rowOff>
        </xdr:from>
        <xdr:to>
          <xdr:col>1</xdr:col>
          <xdr:colOff>533400</xdr:colOff>
          <xdr:row>11</xdr:row>
          <xdr:rowOff>38100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6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11</xdr:row>
          <xdr:rowOff>19050</xdr:rowOff>
        </xdr:from>
        <xdr:to>
          <xdr:col>1</xdr:col>
          <xdr:colOff>533400</xdr:colOff>
          <xdr:row>12</xdr:row>
          <xdr:rowOff>38100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6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12</xdr:row>
          <xdr:rowOff>19050</xdr:rowOff>
        </xdr:from>
        <xdr:to>
          <xdr:col>1</xdr:col>
          <xdr:colOff>533400</xdr:colOff>
          <xdr:row>13</xdr:row>
          <xdr:rowOff>38100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6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13</xdr:row>
          <xdr:rowOff>19050</xdr:rowOff>
        </xdr:from>
        <xdr:to>
          <xdr:col>1</xdr:col>
          <xdr:colOff>533400</xdr:colOff>
          <xdr:row>14</xdr:row>
          <xdr:rowOff>38100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6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14</xdr:row>
          <xdr:rowOff>19050</xdr:rowOff>
        </xdr:from>
        <xdr:to>
          <xdr:col>1</xdr:col>
          <xdr:colOff>533400</xdr:colOff>
          <xdr:row>15</xdr:row>
          <xdr:rowOff>38100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6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15</xdr:row>
          <xdr:rowOff>19050</xdr:rowOff>
        </xdr:from>
        <xdr:to>
          <xdr:col>1</xdr:col>
          <xdr:colOff>533400</xdr:colOff>
          <xdr:row>16</xdr:row>
          <xdr:rowOff>38100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6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16</xdr:row>
          <xdr:rowOff>19050</xdr:rowOff>
        </xdr:from>
        <xdr:to>
          <xdr:col>1</xdr:col>
          <xdr:colOff>533400</xdr:colOff>
          <xdr:row>17</xdr:row>
          <xdr:rowOff>38100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6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17</xdr:row>
          <xdr:rowOff>19050</xdr:rowOff>
        </xdr:from>
        <xdr:to>
          <xdr:col>1</xdr:col>
          <xdr:colOff>533400</xdr:colOff>
          <xdr:row>18</xdr:row>
          <xdr:rowOff>38100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6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18</xdr:row>
          <xdr:rowOff>28575</xdr:rowOff>
        </xdr:from>
        <xdr:to>
          <xdr:col>1</xdr:col>
          <xdr:colOff>533400</xdr:colOff>
          <xdr:row>19</xdr:row>
          <xdr:rowOff>47625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6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19</xdr:row>
          <xdr:rowOff>28575</xdr:rowOff>
        </xdr:from>
        <xdr:to>
          <xdr:col>1</xdr:col>
          <xdr:colOff>533400</xdr:colOff>
          <xdr:row>20</xdr:row>
          <xdr:rowOff>47625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6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20</xdr:row>
          <xdr:rowOff>28575</xdr:rowOff>
        </xdr:from>
        <xdr:to>
          <xdr:col>1</xdr:col>
          <xdr:colOff>533400</xdr:colOff>
          <xdr:row>21</xdr:row>
          <xdr:rowOff>47625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6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21</xdr:row>
          <xdr:rowOff>28575</xdr:rowOff>
        </xdr:from>
        <xdr:to>
          <xdr:col>1</xdr:col>
          <xdr:colOff>533400</xdr:colOff>
          <xdr:row>22</xdr:row>
          <xdr:rowOff>47625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6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xdr:row>
          <xdr:rowOff>9525</xdr:rowOff>
        </xdr:from>
        <xdr:to>
          <xdr:col>14</xdr:col>
          <xdr:colOff>0</xdr:colOff>
          <xdr:row>4</xdr:row>
          <xdr:rowOff>19050</xdr:rowOff>
        </xdr:to>
        <xdr:sp macro="" textlink="">
          <xdr:nvSpPr>
            <xdr:cNvPr id="6179" name="Drop Down 35" hidden="1">
              <a:extLst>
                <a:ext uri="{63B3BB69-23CF-44E3-9099-C40C66FF867C}">
                  <a14:compatExt spid="_x0000_s6179"/>
                </a:ext>
                <a:ext uri="{FF2B5EF4-FFF2-40B4-BE49-F238E27FC236}">
                  <a16:creationId xmlns:a16="http://schemas.microsoft.com/office/drawing/2014/main" id="{00000000-0008-0000-06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5</xdr:row>
          <xdr:rowOff>180975</xdr:rowOff>
        </xdr:from>
        <xdr:to>
          <xdr:col>1</xdr:col>
          <xdr:colOff>533400</xdr:colOff>
          <xdr:row>7</xdr:row>
          <xdr:rowOff>9525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6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6</xdr:row>
          <xdr:rowOff>180975</xdr:rowOff>
        </xdr:from>
        <xdr:to>
          <xdr:col>1</xdr:col>
          <xdr:colOff>533400</xdr:colOff>
          <xdr:row>8</xdr:row>
          <xdr:rowOff>9525</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6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7</xdr:row>
          <xdr:rowOff>180975</xdr:rowOff>
        </xdr:from>
        <xdr:to>
          <xdr:col>1</xdr:col>
          <xdr:colOff>533400</xdr:colOff>
          <xdr:row>9</xdr:row>
          <xdr:rowOff>9525</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6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8</xdr:row>
          <xdr:rowOff>180975</xdr:rowOff>
        </xdr:from>
        <xdr:to>
          <xdr:col>1</xdr:col>
          <xdr:colOff>533400</xdr:colOff>
          <xdr:row>10</xdr:row>
          <xdr:rowOff>9525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6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10</xdr:row>
          <xdr:rowOff>19050</xdr:rowOff>
        </xdr:from>
        <xdr:to>
          <xdr:col>1</xdr:col>
          <xdr:colOff>533400</xdr:colOff>
          <xdr:row>11</xdr:row>
          <xdr:rowOff>38100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6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11</xdr:row>
          <xdr:rowOff>19050</xdr:rowOff>
        </xdr:from>
        <xdr:to>
          <xdr:col>1</xdr:col>
          <xdr:colOff>533400</xdr:colOff>
          <xdr:row>12</xdr:row>
          <xdr:rowOff>38100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6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12</xdr:row>
          <xdr:rowOff>19050</xdr:rowOff>
        </xdr:from>
        <xdr:to>
          <xdr:col>1</xdr:col>
          <xdr:colOff>533400</xdr:colOff>
          <xdr:row>13</xdr:row>
          <xdr:rowOff>38100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6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13</xdr:row>
          <xdr:rowOff>19050</xdr:rowOff>
        </xdr:from>
        <xdr:to>
          <xdr:col>1</xdr:col>
          <xdr:colOff>533400</xdr:colOff>
          <xdr:row>14</xdr:row>
          <xdr:rowOff>38100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6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14</xdr:row>
          <xdr:rowOff>19050</xdr:rowOff>
        </xdr:from>
        <xdr:to>
          <xdr:col>1</xdr:col>
          <xdr:colOff>533400</xdr:colOff>
          <xdr:row>15</xdr:row>
          <xdr:rowOff>38100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6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15</xdr:row>
          <xdr:rowOff>19050</xdr:rowOff>
        </xdr:from>
        <xdr:to>
          <xdr:col>1</xdr:col>
          <xdr:colOff>533400</xdr:colOff>
          <xdr:row>16</xdr:row>
          <xdr:rowOff>38100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6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16</xdr:row>
          <xdr:rowOff>19050</xdr:rowOff>
        </xdr:from>
        <xdr:to>
          <xdr:col>1</xdr:col>
          <xdr:colOff>533400</xdr:colOff>
          <xdr:row>17</xdr:row>
          <xdr:rowOff>38100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6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17</xdr:row>
          <xdr:rowOff>19050</xdr:rowOff>
        </xdr:from>
        <xdr:to>
          <xdr:col>1</xdr:col>
          <xdr:colOff>533400</xdr:colOff>
          <xdr:row>18</xdr:row>
          <xdr:rowOff>38100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6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18</xdr:row>
          <xdr:rowOff>28575</xdr:rowOff>
        </xdr:from>
        <xdr:to>
          <xdr:col>1</xdr:col>
          <xdr:colOff>533400</xdr:colOff>
          <xdr:row>19</xdr:row>
          <xdr:rowOff>47625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6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19</xdr:row>
          <xdr:rowOff>28575</xdr:rowOff>
        </xdr:from>
        <xdr:to>
          <xdr:col>1</xdr:col>
          <xdr:colOff>533400</xdr:colOff>
          <xdr:row>20</xdr:row>
          <xdr:rowOff>47625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6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20</xdr:row>
          <xdr:rowOff>28575</xdr:rowOff>
        </xdr:from>
        <xdr:to>
          <xdr:col>1</xdr:col>
          <xdr:colOff>533400</xdr:colOff>
          <xdr:row>21</xdr:row>
          <xdr:rowOff>47625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6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21</xdr:row>
          <xdr:rowOff>28575</xdr:rowOff>
        </xdr:from>
        <xdr:to>
          <xdr:col>1</xdr:col>
          <xdr:colOff>533400</xdr:colOff>
          <xdr:row>22</xdr:row>
          <xdr:rowOff>47625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6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581025</xdr:colOff>
          <xdr:row>2</xdr:row>
          <xdr:rowOff>180975</xdr:rowOff>
        </xdr:from>
        <xdr:to>
          <xdr:col>6</xdr:col>
          <xdr:colOff>571500</xdr:colOff>
          <xdr:row>4</xdr:row>
          <xdr:rowOff>19050</xdr:rowOff>
        </xdr:to>
        <xdr:sp macro="" textlink="">
          <xdr:nvSpPr>
            <xdr:cNvPr id="8193" name="Drop Down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676275</xdr:colOff>
          <xdr:row>13</xdr:row>
          <xdr:rowOff>9525</xdr:rowOff>
        </xdr:from>
        <xdr:to>
          <xdr:col>8</xdr:col>
          <xdr:colOff>85725</xdr:colOff>
          <xdr:row>14</xdr:row>
          <xdr:rowOff>19050</xdr:rowOff>
        </xdr:to>
        <xdr:sp macro="" textlink="">
          <xdr:nvSpPr>
            <xdr:cNvPr id="10241" name="Drop Down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5</xdr:row>
          <xdr:rowOff>180975</xdr:rowOff>
        </xdr:from>
        <xdr:to>
          <xdr:col>9</xdr:col>
          <xdr:colOff>85725</xdr:colOff>
          <xdr:row>7</xdr:row>
          <xdr:rowOff>0</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9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trlProp" Target="../ctrlProps/ctrlProp9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trlProp" Target="../ctrlProps/ctrlProp9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101.xml"/><Relationship Id="rId5" Type="http://schemas.openxmlformats.org/officeDocument/2006/relationships/ctrlProp" Target="../ctrlProps/ctrlProp100.xml"/><Relationship Id="rId4" Type="http://schemas.openxmlformats.org/officeDocument/2006/relationships/ctrlProp" Target="../ctrlProps/ctrlProp9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ctrlProp" Target="../ctrlProps/ctrlProp103.xml"/><Relationship Id="rId4" Type="http://schemas.openxmlformats.org/officeDocument/2006/relationships/ctrlProp" Target="../ctrlProps/ctrlProp10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trlProp" Target="../ctrlProps/ctrlProp10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3.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22.xml"/><Relationship Id="rId7" Type="http://schemas.openxmlformats.org/officeDocument/2006/relationships/ctrlProp" Target="../ctrlProps/ctrlProp26.xml"/><Relationship Id="rId2" Type="http://schemas.openxmlformats.org/officeDocument/2006/relationships/vmlDrawing" Target="../drawings/vmlDrawing3.vml"/><Relationship Id="rId1" Type="http://schemas.openxmlformats.org/officeDocument/2006/relationships/drawing" Target="../drawings/drawing4.xml"/><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4.v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5.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4.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9" Type="http://schemas.openxmlformats.org/officeDocument/2006/relationships/ctrlProp" Target="../ctrlProps/ctrlProp79.xml"/><Relationship Id="rId21" Type="http://schemas.openxmlformats.org/officeDocument/2006/relationships/ctrlProp" Target="../ctrlProps/ctrlProp61.xml"/><Relationship Id="rId34" Type="http://schemas.openxmlformats.org/officeDocument/2006/relationships/ctrlProp" Target="../ctrlProps/ctrlProp74.xml"/><Relationship Id="rId42" Type="http://schemas.openxmlformats.org/officeDocument/2006/relationships/ctrlProp" Target="../ctrlProps/ctrlProp82.xml"/><Relationship Id="rId47" Type="http://schemas.openxmlformats.org/officeDocument/2006/relationships/ctrlProp" Target="../ctrlProps/ctrlProp87.xml"/><Relationship Id="rId50" Type="http://schemas.openxmlformats.org/officeDocument/2006/relationships/ctrlProp" Target="../ctrlProps/ctrlProp90.xml"/><Relationship Id="rId7" Type="http://schemas.openxmlformats.org/officeDocument/2006/relationships/ctrlProp" Target="../ctrlProps/ctrlProp47.xml"/><Relationship Id="rId2" Type="http://schemas.openxmlformats.org/officeDocument/2006/relationships/drawing" Target="../drawings/drawing6.xml"/><Relationship Id="rId16" Type="http://schemas.openxmlformats.org/officeDocument/2006/relationships/ctrlProp" Target="../ctrlProps/ctrlProp56.xml"/><Relationship Id="rId29" Type="http://schemas.openxmlformats.org/officeDocument/2006/relationships/ctrlProp" Target="../ctrlProps/ctrlProp69.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trlProp" Target="../ctrlProps/ctrlProp72.xml"/><Relationship Id="rId37" Type="http://schemas.openxmlformats.org/officeDocument/2006/relationships/ctrlProp" Target="../ctrlProps/ctrlProp77.xml"/><Relationship Id="rId40" Type="http://schemas.openxmlformats.org/officeDocument/2006/relationships/ctrlProp" Target="../ctrlProps/ctrlProp80.xml"/><Relationship Id="rId45" Type="http://schemas.openxmlformats.org/officeDocument/2006/relationships/ctrlProp" Target="../ctrlProps/ctrlProp85.xml"/><Relationship Id="rId53" Type="http://schemas.openxmlformats.org/officeDocument/2006/relationships/ctrlProp" Target="../ctrlProps/ctrlProp93.xml"/><Relationship Id="rId5" Type="http://schemas.openxmlformats.org/officeDocument/2006/relationships/ctrlProp" Target="../ctrlProps/ctrlProp45.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4" Type="http://schemas.openxmlformats.org/officeDocument/2006/relationships/ctrlProp" Target="../ctrlProps/ctrlProp84.xml"/><Relationship Id="rId52" Type="http://schemas.openxmlformats.org/officeDocument/2006/relationships/ctrlProp" Target="../ctrlProps/ctrlProp92.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 Id="rId43" Type="http://schemas.openxmlformats.org/officeDocument/2006/relationships/ctrlProp" Target="../ctrlProps/ctrlProp83.xml"/><Relationship Id="rId48" Type="http://schemas.openxmlformats.org/officeDocument/2006/relationships/ctrlProp" Target="../ctrlProps/ctrlProp88.xml"/><Relationship Id="rId8" Type="http://schemas.openxmlformats.org/officeDocument/2006/relationships/ctrlProp" Target="../ctrlProps/ctrlProp48.xml"/><Relationship Id="rId51" Type="http://schemas.openxmlformats.org/officeDocument/2006/relationships/ctrlProp" Target="../ctrlProps/ctrlProp91.xml"/><Relationship Id="rId3" Type="http://schemas.openxmlformats.org/officeDocument/2006/relationships/vmlDrawing" Target="../drawings/vmlDrawing5.v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38" Type="http://schemas.openxmlformats.org/officeDocument/2006/relationships/ctrlProp" Target="../ctrlProps/ctrlProp78.xml"/><Relationship Id="rId46" Type="http://schemas.openxmlformats.org/officeDocument/2006/relationships/ctrlProp" Target="../ctrlProps/ctrlProp86.xml"/><Relationship Id="rId20" Type="http://schemas.openxmlformats.org/officeDocument/2006/relationships/ctrlProp" Target="../ctrlProps/ctrlProp60.xml"/><Relationship Id="rId41" Type="http://schemas.openxmlformats.org/officeDocument/2006/relationships/ctrlProp" Target="../ctrlProps/ctrlProp81.xml"/><Relationship Id="rId54" Type="http://schemas.openxmlformats.org/officeDocument/2006/relationships/ctrlProp" Target="../ctrlProps/ctrlProp94.xml"/><Relationship Id="rId1" Type="http://schemas.openxmlformats.org/officeDocument/2006/relationships/printerSettings" Target="../printerSettings/printerSettings6.bin"/><Relationship Id="rId6" Type="http://schemas.openxmlformats.org/officeDocument/2006/relationships/ctrlProp" Target="../ctrlProps/ctrlProp46.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49" Type="http://schemas.openxmlformats.org/officeDocument/2006/relationships/ctrlProp" Target="../ctrlProps/ctrlProp8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9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trlProp" Target="../ctrlProps/ctrlProp9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FE472-07B5-4881-8788-20B2053E88E3}">
  <dimension ref="A9:M32"/>
  <sheetViews>
    <sheetView showGridLines="0" showRowColHeaders="0" tabSelected="1" topLeftCell="A4" zoomScale="160" zoomScaleNormal="160" workbookViewId="0">
      <selection activeCell="F22" sqref="F22"/>
    </sheetView>
  </sheetViews>
  <sheetFormatPr defaultRowHeight="15" x14ac:dyDescent="0.25"/>
  <cols>
    <col min="1" max="16384" width="9" style="1"/>
  </cols>
  <sheetData>
    <row r="9" spans="2:13" ht="15" customHeight="1" x14ac:dyDescent="0.25">
      <c r="B9" s="34" t="s">
        <v>250</v>
      </c>
      <c r="C9" s="34"/>
      <c r="D9" s="34"/>
      <c r="E9" s="34"/>
      <c r="F9" s="34"/>
      <c r="G9" s="34"/>
      <c r="H9" s="34"/>
      <c r="I9" s="34"/>
      <c r="J9" s="34"/>
      <c r="K9" s="34"/>
      <c r="L9" s="34"/>
      <c r="M9" s="34"/>
    </row>
    <row r="10" spans="2:13" ht="15" customHeight="1" x14ac:dyDescent="0.25">
      <c r="B10" s="34"/>
      <c r="C10" s="34"/>
      <c r="D10" s="34"/>
      <c r="E10" s="34"/>
      <c r="F10" s="34"/>
      <c r="G10" s="34"/>
      <c r="H10" s="34"/>
      <c r="I10" s="34"/>
      <c r="J10" s="34"/>
      <c r="K10" s="34"/>
      <c r="L10" s="34"/>
      <c r="M10" s="34"/>
    </row>
    <row r="11" spans="2:13" ht="15" customHeight="1" x14ac:dyDescent="0.25">
      <c r="B11" s="34"/>
      <c r="C11" s="34"/>
      <c r="D11" s="34"/>
      <c r="E11" s="34"/>
      <c r="F11" s="34"/>
      <c r="G11" s="34"/>
      <c r="H11" s="34"/>
      <c r="I11" s="34"/>
      <c r="J11" s="34"/>
      <c r="K11" s="34"/>
      <c r="L11" s="34"/>
      <c r="M11" s="34"/>
    </row>
    <row r="12" spans="2:13" ht="15" customHeight="1" x14ac:dyDescent="0.25">
      <c r="B12" s="34"/>
      <c r="C12" s="34"/>
      <c r="D12" s="34"/>
      <c r="E12" s="34"/>
      <c r="F12" s="34"/>
      <c r="G12" s="34"/>
      <c r="H12" s="34"/>
      <c r="I12" s="34"/>
      <c r="J12" s="34"/>
      <c r="K12" s="34"/>
      <c r="L12" s="34"/>
      <c r="M12" s="34"/>
    </row>
    <row r="14" spans="2:13" x14ac:dyDescent="0.25">
      <c r="B14" s="35" t="s">
        <v>252</v>
      </c>
      <c r="C14" s="35"/>
      <c r="D14" s="35"/>
      <c r="E14" s="35"/>
      <c r="F14" s="35"/>
      <c r="G14" s="35"/>
      <c r="H14" s="35"/>
      <c r="I14" s="35"/>
      <c r="J14" s="35"/>
      <c r="K14" s="35"/>
      <c r="L14" s="35"/>
      <c r="M14" s="35"/>
    </row>
    <row r="15" spans="2:13" x14ac:dyDescent="0.25">
      <c r="B15" s="35"/>
      <c r="C15" s="35"/>
      <c r="D15" s="35"/>
      <c r="E15" s="35"/>
      <c r="F15" s="35"/>
      <c r="G15" s="35"/>
      <c r="H15" s="35"/>
      <c r="I15" s="35"/>
      <c r="J15" s="35"/>
      <c r="K15" s="35"/>
      <c r="L15" s="35"/>
      <c r="M15" s="35"/>
    </row>
    <row r="16" spans="2:13" x14ac:dyDescent="0.25">
      <c r="B16" s="35"/>
      <c r="C16" s="35"/>
      <c r="D16" s="35"/>
      <c r="E16" s="35"/>
      <c r="F16" s="35"/>
      <c r="G16" s="35"/>
      <c r="H16" s="35"/>
      <c r="I16" s="35"/>
      <c r="J16" s="35"/>
      <c r="K16" s="35"/>
      <c r="L16" s="35"/>
      <c r="M16" s="35"/>
    </row>
    <row r="17" spans="1:13" x14ac:dyDescent="0.25">
      <c r="B17" s="35"/>
      <c r="C17" s="35"/>
      <c r="D17" s="35"/>
      <c r="E17" s="35"/>
      <c r="F17" s="35"/>
      <c r="G17" s="35"/>
      <c r="H17" s="35"/>
      <c r="I17" s="35"/>
      <c r="J17" s="35"/>
      <c r="K17" s="35"/>
      <c r="L17" s="35"/>
      <c r="M17" s="35"/>
    </row>
    <row r="18" spans="1:13" x14ac:dyDescent="0.25">
      <c r="E18" s="3"/>
      <c r="F18" s="3"/>
      <c r="G18" s="3"/>
    </row>
    <row r="19" spans="1:13" x14ac:dyDescent="0.25">
      <c r="B19" s="136"/>
      <c r="C19" s="135"/>
      <c r="E19" s="3"/>
      <c r="F19" s="3"/>
      <c r="G19" s="3"/>
    </row>
    <row r="20" spans="1:13" x14ac:dyDescent="0.25">
      <c r="E20" s="3"/>
      <c r="F20" s="3"/>
      <c r="G20" s="3"/>
      <c r="I20"/>
    </row>
    <row r="21" spans="1:13" x14ac:dyDescent="0.25">
      <c r="E21" s="3"/>
      <c r="F21" s="3"/>
      <c r="G21" s="3"/>
    </row>
    <row r="28" spans="1:13" x14ac:dyDescent="0.25">
      <c r="A28" s="3" t="s">
        <v>247</v>
      </c>
    </row>
    <row r="29" spans="1:13" x14ac:dyDescent="0.25">
      <c r="A29" s="3" t="s">
        <v>249</v>
      </c>
    </row>
    <row r="30" spans="1:13" x14ac:dyDescent="0.25">
      <c r="A30" s="3" t="s">
        <v>248</v>
      </c>
    </row>
    <row r="31" spans="1:13" x14ac:dyDescent="0.25">
      <c r="A31" s="3" t="s">
        <v>246</v>
      </c>
    </row>
    <row r="32" spans="1:13" x14ac:dyDescent="0.25">
      <c r="A32" s="33" t="s">
        <v>253</v>
      </c>
    </row>
  </sheetData>
  <sheetProtection algorithmName="SHA-512" hashValue="6ib61hvrgW2W1fVWhRZyc1615VKijukb3kbBuLrFR9ZN7uJ+5LSQ+eTV7oD1iIiYaw/XOIr2noW9bSlklvCTRw==" saltValue="nOFc6Q+ZYZJEmlViGkYtTw==" spinCount="100000" sheet="1" objects="1" scenarios="1"/>
  <mergeCells count="2">
    <mergeCell ref="B9:M12"/>
    <mergeCell ref="B14:M17"/>
  </mergeCells>
  <hyperlinks>
    <hyperlink ref="B9:M12" location="Sheet1!A1" display="ზრდასრულთა საზოგადოებაში შეძენილი პნევმონიის ანტიმიკრობული თერაპია სტაციონარში" xr:uid="{73A3992D-8082-4256-A9E2-1427B9E3F192}"/>
    <hyperlink ref="B14:M17" location="Sheet1!A1" display="Treatment of community-acquired pneumonia in adults who require hospitalization" xr:uid="{97279DE1-8454-49E5-A2BE-87C8C8921A23}"/>
  </hyperlinks>
  <pageMargins left="0.7" right="0.7" top="0.75" bottom="0.75" header="0.3" footer="0.3"/>
  <pageSetup paperSize="9" orientation="landscape" horizontalDpi="0"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D63CB-6BBD-4A49-A111-154FEE435A75}">
  <dimension ref="A1:AC30"/>
  <sheetViews>
    <sheetView workbookViewId="0">
      <selection activeCell="L36" sqref="L36"/>
    </sheetView>
  </sheetViews>
  <sheetFormatPr defaultRowHeight="15" x14ac:dyDescent="0.25"/>
  <cols>
    <col min="1" max="16384" width="9" style="1"/>
  </cols>
  <sheetData>
    <row r="1" spans="1:29" x14ac:dyDescent="0.25">
      <c r="A1" s="48" t="s">
        <v>161</v>
      </c>
      <c r="B1" s="48"/>
      <c r="C1" s="48"/>
      <c r="D1" s="48"/>
      <c r="E1" s="48"/>
      <c r="F1" s="48"/>
      <c r="G1" s="48"/>
      <c r="H1" s="48"/>
      <c r="I1" s="48"/>
      <c r="J1" s="48"/>
      <c r="K1" s="48"/>
      <c r="L1" s="48"/>
      <c r="M1" s="48"/>
      <c r="N1" s="48"/>
    </row>
    <row r="2" spans="1:29" x14ac:dyDescent="0.25">
      <c r="A2" s="48"/>
      <c r="B2" s="48"/>
      <c r="C2" s="48"/>
      <c r="D2" s="48"/>
      <c r="E2" s="48"/>
      <c r="F2" s="48"/>
      <c r="G2" s="48"/>
      <c r="H2" s="48"/>
      <c r="I2" s="48"/>
      <c r="J2" s="48"/>
      <c r="K2" s="48"/>
      <c r="L2" s="48"/>
      <c r="M2" s="48"/>
      <c r="N2" s="48"/>
      <c r="AC2" s="1" t="s">
        <v>164</v>
      </c>
    </row>
    <row r="3" spans="1:29" x14ac:dyDescent="0.25">
      <c r="AC3" s="1" t="s">
        <v>0</v>
      </c>
    </row>
    <row r="4" spans="1:29" x14ac:dyDescent="0.25">
      <c r="A4" s="45" t="s">
        <v>162</v>
      </c>
      <c r="B4" s="45"/>
      <c r="C4" s="45"/>
      <c r="D4" s="45"/>
      <c r="E4" s="45"/>
      <c r="F4" s="45"/>
      <c r="G4" s="45"/>
      <c r="H4" s="45"/>
      <c r="I4" s="45"/>
      <c r="J4" s="45"/>
      <c r="K4" s="45"/>
      <c r="L4" s="45"/>
      <c r="M4" s="45"/>
      <c r="N4" s="45"/>
    </row>
    <row r="5" spans="1:29" x14ac:dyDescent="0.25">
      <c r="A5" s="45"/>
      <c r="B5" s="45"/>
      <c r="C5" s="45"/>
      <c r="D5" s="45"/>
      <c r="E5" s="45"/>
      <c r="F5" s="45"/>
      <c r="G5" s="45"/>
      <c r="H5" s="45"/>
      <c r="I5" s="45"/>
      <c r="J5" s="45"/>
      <c r="K5" s="45"/>
      <c r="L5" s="45"/>
      <c r="M5" s="45"/>
      <c r="N5" s="45"/>
    </row>
    <row r="6" spans="1:29" x14ac:dyDescent="0.25">
      <c r="I6" s="11"/>
    </row>
    <row r="7" spans="1:29" x14ac:dyDescent="0.25">
      <c r="A7" s="1" t="s">
        <v>163</v>
      </c>
      <c r="I7" s="11">
        <v>1</v>
      </c>
    </row>
    <row r="9" spans="1:29" x14ac:dyDescent="0.25">
      <c r="B9" s="1" t="str">
        <f>IF(I7=2,"მკურნალობის ხანგრძლივობა დამოკიდებულია კლინიკურ პასუხზე:",IF(I7=3,"თუ ინიციალური თერაპია არ არის ეფექტური შემდგომში განსაზღვრული პათოგენის მიმართ",""))</f>
        <v/>
      </c>
    </row>
    <row r="10" spans="1:29" x14ac:dyDescent="0.25">
      <c r="F10" s="1" t="str">
        <f>IF(I7=3,"ან","")</f>
        <v/>
      </c>
    </row>
    <row r="11" spans="1:29" x14ac:dyDescent="0.25">
      <c r="C11" s="15" t="str">
        <f>IF(I7=2,"* ადრეული პასუხის შემთხვევაში, მკურნალობის საშუალო ხანგრძლივობა შეადგენს 7 დღს, თუ არ არის გართულებები","")</f>
        <v/>
      </c>
      <c r="D11" s="15"/>
      <c r="E11" s="15"/>
      <c r="F11" s="15"/>
      <c r="G11" s="15"/>
      <c r="H11" s="15"/>
      <c r="I11" s="15"/>
      <c r="J11" s="15"/>
      <c r="K11" s="15"/>
      <c r="L11" s="15"/>
      <c r="M11" s="15"/>
    </row>
    <row r="12" spans="1:29" x14ac:dyDescent="0.25">
      <c r="B12" s="1" t="str">
        <f>IF(I7=3," თუ დადასტურებულია Pseudomona aruginosa, S. aureus, Legionella spp. ან სხვა ატიპური პათოგენი","")</f>
        <v/>
      </c>
      <c r="C12" s="15"/>
      <c r="D12" s="15"/>
      <c r="E12" s="15"/>
      <c r="F12" s="15"/>
      <c r="G12" s="15"/>
      <c r="H12" s="15"/>
      <c r="I12" s="15"/>
      <c r="J12" s="15"/>
      <c r="K12" s="15"/>
      <c r="L12" s="15"/>
      <c r="M12" s="15"/>
    </row>
    <row r="13" spans="1:29" ht="15" customHeight="1" x14ac:dyDescent="0.25">
      <c r="C13" s="21"/>
      <c r="D13" s="21"/>
      <c r="E13" s="21"/>
      <c r="F13" s="21"/>
      <c r="G13" s="21"/>
      <c r="H13" s="21"/>
      <c r="I13" s="21"/>
      <c r="J13" s="21"/>
      <c r="K13" s="21"/>
      <c r="L13" s="21"/>
      <c r="M13" s="21"/>
      <c r="N13" s="21"/>
      <c r="R13" s="3"/>
    </row>
    <row r="14" spans="1:29" x14ac:dyDescent="0.25">
      <c r="C14" s="60" t="str">
        <f>IF(I7=2,"* იმუნოკომპრომისულ პაციენტებში ან მეტასტაზური დაზიანების შემთხვევაში რეკომენდებულია &gt;4-კვირიანი","")</f>
        <v/>
      </c>
      <c r="D14" s="60"/>
      <c r="E14" s="60"/>
      <c r="F14" s="60"/>
      <c r="G14" s="60"/>
      <c r="H14" s="60"/>
      <c r="I14" s="60"/>
      <c r="J14" s="60"/>
      <c r="K14" s="60"/>
      <c r="L14" s="60"/>
      <c r="M14" s="60"/>
      <c r="N14" s="60"/>
    </row>
    <row r="15" spans="1:29" x14ac:dyDescent="0.25">
      <c r="C15" s="15" t="str">
        <f>IF(I7=2,"ანტიბიოტიკოთერაპია","")</f>
        <v/>
      </c>
      <c r="D15" s="15"/>
      <c r="E15" s="15"/>
      <c r="F15" s="15"/>
      <c r="G15" s="15"/>
      <c r="H15" s="15"/>
      <c r="I15" s="15"/>
      <c r="J15" s="15"/>
      <c r="K15" s="15"/>
      <c r="L15" s="15"/>
      <c r="M15" s="15"/>
    </row>
    <row r="16" spans="1:29" x14ac:dyDescent="0.25">
      <c r="B16" s="2" t="str">
        <f>IF(I7=3,"ანტიბიოტიკოთერაპიის ხანგრძლივობა განისაზღვრება ინდივიდუალურად","")</f>
        <v/>
      </c>
    </row>
    <row r="18" spans="2:14" x14ac:dyDescent="0.25">
      <c r="B18" s="45" t="str">
        <f>IF(I7=3,"თუ  ინიციალური თერაპია აქტიურია შემდგომ დადასტურებული პათოგენის მიმართ, არ არის ფსევდომონა, ოქროსფერი სტაფილოკოკი, ლეგიონელა ან ატიპური პათოგენი და აღინიშნება ყველა ქვემოთ ჩამოთვლილი:","")</f>
        <v/>
      </c>
      <c r="C18" s="45"/>
      <c r="D18" s="45"/>
      <c r="E18" s="45"/>
      <c r="F18" s="45"/>
      <c r="G18" s="45"/>
      <c r="H18" s="45"/>
      <c r="I18" s="45"/>
      <c r="J18" s="45"/>
      <c r="K18" s="45"/>
      <c r="L18" s="45"/>
      <c r="M18" s="45"/>
      <c r="N18" s="45"/>
    </row>
    <row r="19" spans="2:14" x14ac:dyDescent="0.25">
      <c r="B19" s="45"/>
      <c r="C19" s="45"/>
      <c r="D19" s="45"/>
      <c r="E19" s="45"/>
      <c r="F19" s="45"/>
      <c r="G19" s="45"/>
      <c r="H19" s="45"/>
      <c r="I19" s="45"/>
      <c r="J19" s="45"/>
      <c r="K19" s="45"/>
      <c r="L19" s="45"/>
      <c r="M19" s="45"/>
      <c r="N19" s="45"/>
    </row>
    <row r="20" spans="2:14" x14ac:dyDescent="0.25">
      <c r="C20" s="1" t="str">
        <f>IF(I7=3,"* პაციენტი აფებრილურია ბოლო 48-72 საათის განმავლობაში;","")</f>
        <v/>
      </c>
    </row>
    <row r="21" spans="2:14" x14ac:dyDescent="0.25">
      <c r="C21" s="1" t="str">
        <f>IF(I7=3,"* არ არის ჟანგბადის დამატებით მიწოდების საჭიროება (თუ არ იყო მანამდე);","")</f>
        <v/>
      </c>
    </row>
    <row r="22" spans="2:14" x14ac:dyDescent="0.25">
      <c r="C22" s="1" t="str">
        <f>IF(I7=3,"* არ არის ქვემოთ ჩამოთვლილთაგან ერთზე მეტი:","")</f>
        <v/>
      </c>
    </row>
    <row r="23" spans="2:14" x14ac:dyDescent="0.25">
      <c r="D23" s="1" t="str">
        <f>IF(I7=3,"** გულისცემის სიხშირე &gt;100/წთ;","")</f>
        <v/>
      </c>
    </row>
    <row r="24" spans="2:14" x14ac:dyDescent="0.25">
      <c r="D24" s="1" t="str">
        <f>IF(I7=3,"** სუნთქვის სიხშირე &gt;24/წთ;","")</f>
        <v/>
      </c>
    </row>
    <row r="25" spans="2:14" x14ac:dyDescent="0.25">
      <c r="D25" s="1" t="str">
        <f>IF(I7=3,"** სისტოლური წნევა ≤90 mmHg.","")</f>
        <v/>
      </c>
    </row>
    <row r="27" spans="2:14" x14ac:dyDescent="0.25">
      <c r="B27" s="2" t="str">
        <f>IF(I7=3,"შეაჩერეთ ანტიბიოტიკოთერაპია 5-7 დღის შემდეგ.","")</f>
        <v/>
      </c>
    </row>
    <row r="29" spans="2:14" x14ac:dyDescent="0.25">
      <c r="B29" s="51" t="str">
        <f>IF(I7=3,"ჩამოთვლილთაგან ერთის არსებობის შემთხვევაშიც კი გაგრძელდეს ანტიბიოტკოთერაპია კლინიკურ სტაბილობამდე; 7 დღეში განმეორებით შეაფასეთ პაციენტი.","")</f>
        <v/>
      </c>
      <c r="C29" s="51"/>
      <c r="D29" s="51"/>
      <c r="E29" s="51"/>
      <c r="F29" s="51"/>
      <c r="G29" s="51"/>
      <c r="H29" s="51"/>
      <c r="I29" s="51"/>
      <c r="J29" s="51"/>
      <c r="K29" s="51"/>
      <c r="L29" s="51"/>
      <c r="M29" s="51"/>
      <c r="N29" s="51"/>
    </row>
    <row r="30" spans="2:14" x14ac:dyDescent="0.25">
      <c r="B30" s="51"/>
      <c r="C30" s="51"/>
      <c r="D30" s="51"/>
      <c r="E30" s="51"/>
      <c r="F30" s="51"/>
      <c r="G30" s="51"/>
      <c r="H30" s="51"/>
      <c r="I30" s="51"/>
      <c r="J30" s="51"/>
      <c r="K30" s="51"/>
      <c r="L30" s="51"/>
      <c r="M30" s="51"/>
      <c r="N30" s="51"/>
    </row>
  </sheetData>
  <sheetProtection algorithmName="SHA-512" hashValue="U8fXCGHLvq+gYX4LM+c2Xx5XWSbxDMdVWJ2r3DCQe5AVcT74C/p9EyiDKA0YPM/PnlE/aS/Q9WeTevguiIuIng==" saltValue="oEsEdtQWVJr5e8J+58RFng==" spinCount="100000" sheet="1" objects="1" scenarios="1"/>
  <mergeCells count="5">
    <mergeCell ref="B18:N19"/>
    <mergeCell ref="B29:N30"/>
    <mergeCell ref="A1:N2"/>
    <mergeCell ref="A4:N5"/>
    <mergeCell ref="C14:N14"/>
  </mergeCells>
  <hyperlinks>
    <hyperlink ref="A1:N2" location="Sheet1!A1" display="ინტრავენური ანტიბიოტიკოთერაპიიდან ორალურზე გადაყვანა" xr:uid="{5328FD7B-DA3C-4A98-9714-ABD3C97DDA85}"/>
  </hyperlinks>
  <pageMargins left="0.7" right="0.7" top="0.75" bottom="0.75" header="0.3" footer="0.3"/>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defaultSize="0" autoLine="0" autoPict="0">
                <anchor moveWithCells="1">
                  <from>
                    <xdr:col>8</xdr:col>
                    <xdr:colOff>0</xdr:colOff>
                    <xdr:row>5</xdr:row>
                    <xdr:rowOff>180975</xdr:rowOff>
                  </from>
                  <to>
                    <xdr:col>9</xdr:col>
                    <xdr:colOff>85725</xdr:colOff>
                    <xdr:row>7</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92E55-4502-423D-8D9E-90C95276F81B}">
  <dimension ref="A1:AC19"/>
  <sheetViews>
    <sheetView workbookViewId="0">
      <selection activeCell="O20" sqref="O20"/>
    </sheetView>
  </sheetViews>
  <sheetFormatPr defaultRowHeight="15" x14ac:dyDescent="0.25"/>
  <cols>
    <col min="1" max="16384" width="9" style="1"/>
  </cols>
  <sheetData>
    <row r="1" spans="1:29" x14ac:dyDescent="0.25">
      <c r="A1" s="48" t="s">
        <v>165</v>
      </c>
      <c r="B1" s="48"/>
      <c r="C1" s="48"/>
      <c r="D1" s="48"/>
      <c r="E1" s="48"/>
      <c r="F1" s="48"/>
      <c r="G1" s="48"/>
      <c r="H1" s="48"/>
      <c r="I1" s="48"/>
      <c r="J1" s="48"/>
      <c r="K1" s="48"/>
      <c r="L1" s="48"/>
      <c r="M1" s="48"/>
      <c r="N1" s="48"/>
    </row>
    <row r="2" spans="1:29" x14ac:dyDescent="0.25">
      <c r="A2" s="48"/>
      <c r="B2" s="48"/>
      <c r="C2" s="48"/>
      <c r="D2" s="48"/>
      <c r="E2" s="48"/>
      <c r="F2" s="48"/>
      <c r="G2" s="48"/>
      <c r="H2" s="48"/>
      <c r="I2" s="48"/>
      <c r="J2" s="48"/>
      <c r="K2" s="48"/>
      <c r="L2" s="48"/>
      <c r="M2" s="48"/>
      <c r="N2" s="48"/>
      <c r="AC2" s="1" t="s">
        <v>170</v>
      </c>
    </row>
    <row r="3" spans="1:29" x14ac:dyDescent="0.25">
      <c r="AC3" s="1" t="s">
        <v>171</v>
      </c>
    </row>
    <row r="4" spans="1:29" x14ac:dyDescent="0.25">
      <c r="A4" s="45" t="s">
        <v>255</v>
      </c>
      <c r="B4" s="45"/>
      <c r="C4" s="45"/>
      <c r="D4" s="45"/>
      <c r="E4" s="45"/>
      <c r="F4" s="45"/>
      <c r="G4" s="45"/>
      <c r="H4" s="45"/>
      <c r="I4" s="45"/>
      <c r="J4" s="45"/>
      <c r="K4" s="45"/>
      <c r="L4" s="45"/>
      <c r="M4" s="45"/>
      <c r="N4" s="45"/>
      <c r="AC4" s="1" t="s">
        <v>172</v>
      </c>
    </row>
    <row r="5" spans="1:29" x14ac:dyDescent="0.25">
      <c r="A5" s="45"/>
      <c r="B5" s="45"/>
      <c r="C5" s="45"/>
      <c r="D5" s="45"/>
      <c r="E5" s="45"/>
      <c r="F5" s="45"/>
      <c r="G5" s="45"/>
      <c r="H5" s="45"/>
      <c r="I5" s="45"/>
      <c r="J5" s="45"/>
      <c r="K5" s="45"/>
      <c r="L5" s="45"/>
      <c r="M5" s="45"/>
      <c r="N5" s="45"/>
    </row>
    <row r="6" spans="1:29" x14ac:dyDescent="0.25">
      <c r="A6" s="45"/>
      <c r="B6" s="45"/>
      <c r="C6" s="45"/>
      <c r="D6" s="45"/>
      <c r="E6" s="45"/>
      <c r="F6" s="45"/>
      <c r="G6" s="45"/>
      <c r="H6" s="45"/>
      <c r="I6" s="45"/>
      <c r="J6" s="45"/>
      <c r="K6" s="45"/>
      <c r="L6" s="45"/>
      <c r="M6" s="45"/>
      <c r="N6" s="45"/>
      <c r="AC6" s="1" t="s">
        <v>159</v>
      </c>
    </row>
    <row r="7" spans="1:29" x14ac:dyDescent="0.25">
      <c r="A7" s="18"/>
      <c r="B7" s="18"/>
      <c r="C7" s="18"/>
      <c r="D7" s="18"/>
      <c r="E7" s="18"/>
      <c r="F7" s="18"/>
      <c r="G7" s="18"/>
      <c r="H7" s="18"/>
      <c r="I7" s="18"/>
      <c r="J7" s="18"/>
      <c r="K7" s="18"/>
      <c r="L7" s="18"/>
      <c r="M7" s="18"/>
      <c r="N7" s="18"/>
      <c r="AC7" s="1" t="s">
        <v>0</v>
      </c>
    </row>
    <row r="8" spans="1:29" x14ac:dyDescent="0.25">
      <c r="A8" s="45" t="s">
        <v>173</v>
      </c>
      <c r="B8" s="45"/>
      <c r="C8" s="45"/>
      <c r="D8" s="45"/>
      <c r="E8" s="45"/>
      <c r="F8" s="45"/>
      <c r="G8" s="45"/>
      <c r="H8" s="45"/>
      <c r="I8" s="45"/>
      <c r="J8" s="45"/>
      <c r="K8" s="45"/>
      <c r="L8" s="45"/>
      <c r="M8" s="45"/>
      <c r="N8" s="45"/>
    </row>
    <row r="9" spans="1:29" x14ac:dyDescent="0.25">
      <c r="A9" s="45"/>
      <c r="B9" s="45"/>
      <c r="C9" s="45"/>
      <c r="D9" s="45"/>
      <c r="E9" s="45"/>
      <c r="F9" s="45"/>
      <c r="G9" s="45"/>
      <c r="H9" s="45"/>
      <c r="I9" s="45"/>
      <c r="J9" s="45"/>
      <c r="K9" s="45"/>
      <c r="L9" s="45"/>
      <c r="M9" s="45"/>
      <c r="N9" s="45"/>
    </row>
    <row r="11" spans="1:29" x14ac:dyDescent="0.25">
      <c r="A11" s="1" t="s">
        <v>166</v>
      </c>
      <c r="I11" s="61" t="s">
        <v>167</v>
      </c>
      <c r="J11" s="61"/>
      <c r="K11" s="61"/>
      <c r="L11" s="61"/>
      <c r="M11" s="22">
        <v>0.1</v>
      </c>
      <c r="N11" s="1" t="s">
        <v>168</v>
      </c>
      <c r="O11" s="12">
        <v>100</v>
      </c>
      <c r="P11" s="12"/>
      <c r="Q11" s="12"/>
    </row>
    <row r="12" spans="1:29" x14ac:dyDescent="0.25">
      <c r="I12" s="23"/>
      <c r="J12" s="5"/>
      <c r="K12" s="5"/>
      <c r="L12" s="5"/>
      <c r="M12" s="23"/>
      <c r="O12" s="12"/>
      <c r="P12" s="12"/>
      <c r="Q12" s="12"/>
    </row>
    <row r="13" spans="1:29" x14ac:dyDescent="0.25">
      <c r="H13" s="62" t="s">
        <v>174</v>
      </c>
      <c r="I13" s="62"/>
      <c r="J13" s="62"/>
      <c r="K13" s="62"/>
      <c r="L13" s="62"/>
      <c r="M13" s="22">
        <v>0.1</v>
      </c>
      <c r="N13" s="1" t="s">
        <v>168</v>
      </c>
      <c r="O13" s="12">
        <f>(M13*100)/M11</f>
        <v>100</v>
      </c>
      <c r="P13" s="12"/>
      <c r="Q13" s="12">
        <f>O11-O13</f>
        <v>0</v>
      </c>
    </row>
    <row r="14" spans="1:29" x14ac:dyDescent="0.25">
      <c r="F14" s="11"/>
    </row>
    <row r="15" spans="1:29" x14ac:dyDescent="0.25">
      <c r="A15" s="1" t="s">
        <v>169</v>
      </c>
      <c r="F15" s="11">
        <v>1</v>
      </c>
    </row>
    <row r="17" spans="2:14" x14ac:dyDescent="0.25">
      <c r="B17" s="2" t="str">
        <f>IF(AND(F15=2,M13&lt;0.25),"დაბალია კონკურენტული ბაქტერიული ინფექციის ალბათობა",IF(AND(F15=2,M13&gt;0.249),"მაღალია კონკურენტული ბაქტერიული ინფექციის ალბათობა ან",IF(AND(F15=3,M13&lt;0.25,M13&lt;M11),"შესაძელებელია ანტიბიოტიკოთერაპიის შეწყვეტა 5-დღიანი მკურნალობის შემდგომ",IF(AND(F15=3,M13&gt;0.249,M11&gt;5,Q13&gt;79),"შესაძელებელია ანტიბიოტიკოთერაპიის შეწყვეტა",IF(AND(F15=3,M13&gt;0.249,M11&gt;5,Q13&lt;80),"გააგრძელეთ ანტიბიოტიკოთერაპია",IF(AND(F15=3,M11=M13),"განიხილეთ ანტიბიოტიკის შეცვლის საკითხი ან",IF(AND(F15=3,M11&lt;M13),"განიხილეთ ანტიბიოტიკის შეცვლის საკითხი ან",IF(AND(F15=3,M13&gt;0.249,M11&lt;5.09),"გააგრძელეთ ანტიბიოტიკოთერაპია",IF(AND(F15=4,M13&lt;0.25),"დაბალია კონკურენტული ბაქტერიული ინფექციის ალბათობა",IF(AND(F15=4,M13&gt;0.249),"მაღალია კონკურენტული ბაქტერიული ინფექციის ალბათობა",""))))))))))</f>
        <v/>
      </c>
    </row>
    <row r="18" spans="2:14" x14ac:dyDescent="0.25">
      <c r="B18" s="51" t="str">
        <f>IF(AND(F15=2,M13&lt;0.25),"შესაძლებელია ანტიბიოტიკოთერაპიის შეწყვეტა",IF(AND(F15=2,M13&gt;0.249),"ეძიეთ პროკალციტონინის მატების სხვა მიზეზები (სისტემური ანთება დამწვრობის, ტრავმის, ქირურგიული ჩარევის, პანკრეატიტის, მალარიის ან ინვაზიური კანდიდოზის გამო)",IF(AND(F15=3,M11=M13),"ეძიეთ პროკალციტონინის მატების სხვა მიზეზები (სისტემური ანთება დამწვრობის, ტრავმის, ქირურგიული ჩარევის, პანკრეატიტის, მალარიის ან ინვაზიური კანდიდოზის გამო)",IF(AND(F15=3,M11&lt;M13),"ეძიეთ პროკალციტონინის მატების სხვა მიზეზები (სისტემური ანთება დამწვრობის, ტრავმის, ქირურგიული ჩარევის, პანკრეატიტის, მალარიის ან ინვაზიური კანდიდოზის გამო)",IF(AND(F15=4,M13&lt;0.25),"შესაძლებელია ანტიბიოტიკოთერაპიის შეწყვეტა",IF(AND(F15=4,M13&gt;0.249),"ეძიეთ პროკალციტონინის მატების სხვა მიზეზები (სისტემური ანთება დამწვრობის, ტრავმის, ქირურგიული ჩარევის, პანკრეატიტის, მალარიის ან ინვაზიური კანდიდოზის გამო)",""))))))</f>
        <v/>
      </c>
      <c r="C18" s="51"/>
      <c r="D18" s="51"/>
      <c r="E18" s="51"/>
      <c r="F18" s="51"/>
      <c r="G18" s="51"/>
      <c r="H18" s="51"/>
      <c r="I18" s="51"/>
      <c r="J18" s="51"/>
      <c r="K18" s="51"/>
      <c r="L18" s="51"/>
      <c r="M18" s="51"/>
      <c r="N18" s="51"/>
    </row>
    <row r="19" spans="2:14" x14ac:dyDescent="0.25">
      <c r="B19" s="51"/>
      <c r="C19" s="51"/>
      <c r="D19" s="51"/>
      <c r="E19" s="51"/>
      <c r="F19" s="51"/>
      <c r="G19" s="51"/>
      <c r="H19" s="51"/>
      <c r="I19" s="51"/>
      <c r="J19" s="51"/>
      <c r="K19" s="51"/>
      <c r="L19" s="51"/>
      <c r="M19" s="51"/>
      <c r="N19" s="51"/>
    </row>
  </sheetData>
  <sheetProtection algorithmName="SHA-512" hashValue="d7G/+dxDIG+pxSnEKCaL3abk2qRjq92LAfm8UtfYmHMFamwIyetV8Aynv4TLNoNamVQMeKFcLa7xJUiCWr0gbg==" saltValue="IJW0hiBUgDv4+6qYqiitDw==" spinCount="100000" sheet="1" objects="1" scenarios="1"/>
  <mergeCells count="6">
    <mergeCell ref="A1:N2"/>
    <mergeCell ref="A4:N6"/>
    <mergeCell ref="I11:L11"/>
    <mergeCell ref="A8:N9"/>
    <mergeCell ref="B18:N19"/>
    <mergeCell ref="H13:L13"/>
  </mergeCells>
  <hyperlinks>
    <hyperlink ref="A1:N2" location="Sheet1!A1" display="ინტრავენური ანტიბიოტიკოთერაპიიდან ორალურზე გადაყვანა" xr:uid="{7FA42F8A-0B6F-47CE-BCDC-A31B03B11808}"/>
  </hyperlinks>
  <pageMargins left="0.7" right="0.7" top="0.75" bottom="0.75" header="0.3" footer="0.3"/>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676275</xdr:colOff>
                    <xdr:row>13</xdr:row>
                    <xdr:rowOff>180975</xdr:rowOff>
                  </from>
                  <to>
                    <xdr:col>7</xdr:col>
                    <xdr:colOff>352425</xdr:colOff>
                    <xdr:row>15</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09CD1-5129-4894-8ADE-F04E50A2DEA7}">
  <dimension ref="A1:AC22"/>
  <sheetViews>
    <sheetView workbookViewId="0">
      <selection activeCell="K32" sqref="K32"/>
    </sheetView>
  </sheetViews>
  <sheetFormatPr defaultRowHeight="15" x14ac:dyDescent="0.25"/>
  <cols>
    <col min="1" max="28" width="9" style="1"/>
    <col min="29" max="29" width="9" style="12"/>
    <col min="30" max="16384" width="9" style="1"/>
  </cols>
  <sheetData>
    <row r="1" spans="1:29" x14ac:dyDescent="0.25">
      <c r="A1" s="48" t="s">
        <v>175</v>
      </c>
      <c r="B1" s="48"/>
      <c r="C1" s="48"/>
      <c r="D1" s="48"/>
      <c r="E1" s="48"/>
      <c r="F1" s="48"/>
      <c r="G1" s="48"/>
      <c r="H1" s="48"/>
      <c r="I1" s="48"/>
      <c r="J1" s="48"/>
      <c r="K1" s="48"/>
      <c r="L1" s="48"/>
      <c r="M1" s="48"/>
      <c r="N1" s="48"/>
      <c r="O1" s="2" t="str">
        <f>IF(AND(L4=2,H6=3),"დიფერენციული დიაგნოზი",IF(AND(L4=4,H6=3),"დიფერენციული დიაგნოზი",""))</f>
        <v/>
      </c>
    </row>
    <row r="2" spans="1:29" x14ac:dyDescent="0.25">
      <c r="A2" s="48"/>
      <c r="B2" s="48"/>
      <c r="C2" s="48"/>
      <c r="D2" s="48"/>
      <c r="E2" s="48"/>
      <c r="F2" s="48"/>
      <c r="G2" s="48"/>
      <c r="H2" s="48"/>
      <c r="I2" s="48"/>
      <c r="J2" s="48"/>
      <c r="K2" s="48"/>
      <c r="L2" s="48"/>
      <c r="M2" s="48"/>
      <c r="N2" s="48"/>
      <c r="O2" s="1" t="str">
        <f>IF(AND(L4=4,H6=3),"* სხვა რესპირაციული ინფექციები:",IF(AND(L4=2,H6=3),"* სხვა რესპირაციული ინფექციები:",""))</f>
        <v/>
      </c>
      <c r="AC2" s="12" t="s">
        <v>176</v>
      </c>
    </row>
    <row r="3" spans="1:29" x14ac:dyDescent="0.25">
      <c r="L3" s="11"/>
      <c r="P3" s="1" t="str">
        <f>IF(AND(L4=4,H6=3),"** მწვავე ბრონქიტი",IF(AND(L4=2,H6=3),"** მწვავე ბრონქიტი",""))</f>
        <v/>
      </c>
      <c r="AC3" s="12" t="s">
        <v>177</v>
      </c>
    </row>
    <row r="4" spans="1:29" x14ac:dyDescent="0.25">
      <c r="A4" s="1" t="s">
        <v>179</v>
      </c>
      <c r="L4" s="11">
        <v>1</v>
      </c>
      <c r="P4" s="1" t="str">
        <f>IF(AND(L4=4,H6=3),"** ზედა სასუნთქი გზების ინფექცია",IF(AND(L4=2,H6=3),"** ზედა სასუნთქი გზების ინფექცია",""))</f>
        <v/>
      </c>
      <c r="AC4" s="12" t="s">
        <v>178</v>
      </c>
    </row>
    <row r="5" spans="1:29" x14ac:dyDescent="0.25">
      <c r="H5" s="11"/>
      <c r="O5" s="1" t="str">
        <f>IF(AND(L4=4,H6=3),"* ფილტვს არაინფექციური დაავადებები:",IF(AND(L4=2,H6=3),"* ფილტვს არაინფექციური დაავადებები:",""))</f>
        <v/>
      </c>
    </row>
    <row r="6" spans="1:29" x14ac:dyDescent="0.25">
      <c r="A6" s="1" t="str">
        <f>IF(L4=2,"სავარაუდო დიაგნოზის საზოგადოებაში შეძენილი პნევმონიაა?",IF(L4=4,"სწრაფი გაუარესება, რესპირაციული დისტრესი ანდა სეფსისი?",""))</f>
        <v/>
      </c>
      <c r="H6" s="11">
        <v>1</v>
      </c>
      <c r="P6" s="1" t="str">
        <f>IF(AND(L4=4,H6=3),"** ფილტვების ქრონიკული ობსტრუქციული დაავადების გამწვავება",IF(AND(L4=2,H6=3),"** ფილტვების ქრონიკული ობსტრუქციული დაავადების გამწვავება",""))</f>
        <v/>
      </c>
      <c r="AC6" s="12" t="str">
        <f>IF(L4=2,"კი",IF(L4=4,"კი",""))</f>
        <v/>
      </c>
    </row>
    <row r="7" spans="1:29" x14ac:dyDescent="0.25">
      <c r="H7" s="11"/>
      <c r="P7" s="1" t="str">
        <f>IF(AND(L4=4,H6=3),"** ასთმის გამწვავება",IF(AND(L4=2,H6=3),"** ასთმის გამწვავება",""))</f>
        <v/>
      </c>
      <c r="AC7" s="12" t="str">
        <f>IF(L4=2,"არა",IF(L4=4,"არა",""))</f>
        <v/>
      </c>
    </row>
    <row r="8" spans="1:29" x14ac:dyDescent="0.25">
      <c r="A8" s="1" t="str">
        <f>IF(AND(L4=2,H6=2),"ჩატარდა თუ არა მიკრობიოლოგიური დიაგნოსტირება?","")</f>
        <v/>
      </c>
      <c r="H8" s="11">
        <v>1</v>
      </c>
      <c r="P8" s="1" t="str">
        <f>IF(AND(L4=4,H6=3),"** ბრონქოექტაზიის გამწვავება",IF(AND(L4=2,H6=3),"** ბრონქოექტაზიის გამწვავება",""))</f>
        <v/>
      </c>
    </row>
    <row r="9" spans="1:29" x14ac:dyDescent="0.25">
      <c r="P9" s="1" t="str">
        <f>IF(AND(L4=4,H6=3),"** ატელექტაზი",IF(AND(L4=2,H6=3),"** ატელექტაზი",""))</f>
        <v/>
      </c>
      <c r="AC9" s="12" t="str">
        <f>IF(AND(L4=2,H6=2),"კი","")</f>
        <v/>
      </c>
    </row>
    <row r="10" spans="1:29" x14ac:dyDescent="0.25">
      <c r="A10" s="2" t="str">
        <f>IF(AND(L4=2,H6=2,H8=2),"გადაიყვანეთ  სამიზნე პათოგენზე მორგებულ ორალურ ანტიბიოტიკზე",IF(AND(L4=2,H6=2,H8=3),"გააგრძელეთ ემპირიული ანტიბიოტიკოთერაპია სულ მცირე 5 დღით",IF(L4=3,"გააგრძელეთ ემპირიული ანტიბიოტიკოთერაპია და მკაცრი მონიტორნგი მომდევნო 72 საათის განმავლობაში",IF(AND(L4=4,H6=2),"დაუყოვნებლივ გააფართოეთ ემპირიული ანტიბიოტიკოთერაპიის სპექტრი",IF(AND(L4=4,H6=3),"გააფართოეთ დიფერენციული დიაგნოზის სპექტრი",IF(AND(L4=2,H6=3),"გააფართოეთ დიფერენციული დიაგნოზის სპექტრი",""))))))</f>
        <v/>
      </c>
      <c r="P10" s="1" t="str">
        <f>IF(AND(L4=4,H6=3),"** ასპირაცია ან ქიმიური პნევმონიტი",IF(AND(L4=2,H6=3),"** ასპირაცია ან ქიმიური პნევმონიტი",""))</f>
        <v/>
      </c>
      <c r="AC10" s="12" t="str">
        <f>IF(AND(L4=2,H6=2),"არა","")</f>
        <v/>
      </c>
    </row>
    <row r="11" spans="1:29" x14ac:dyDescent="0.25">
      <c r="A11" s="2" t="str">
        <f>IF(AND(L4=2,H6=2,H8=3),"შესაძელებელია იგივე სპექტრის ორალურ ანტიბიოტიკოთერაპიაზე გადართვა",IF(AND(L4=4,H6=2),"დაუყოვნებლივ გააფართოეთ ემპირიული დიაგნოსტიკური ძიება",IF(AND(L4=4,H6=3),"განმეორებითი რადიოლოგიური შეფასება და ანტიბიოტკოთერაპიის რეჟიმის გაფართოება","")))</f>
        <v/>
      </c>
      <c r="P11" s="1" t="str">
        <f>IF(AND(L4=4,H6=3),"** წამლისმიერი რეაქცია",IF(AND(L4=2,H6=3),"** წამლისმიერი რეაქცია",""))</f>
        <v/>
      </c>
    </row>
    <row r="12" spans="1:29" x14ac:dyDescent="0.25">
      <c r="A12" s="63" t="str">
        <f>IF(AND(L4=4,H6=2),AC12,"")</f>
        <v/>
      </c>
      <c r="B12" s="63"/>
      <c r="C12" s="63"/>
      <c r="D12" s="63"/>
      <c r="E12" s="63"/>
      <c r="F12" s="63"/>
      <c r="G12" s="63"/>
      <c r="H12" s="63"/>
      <c r="I12" s="63"/>
      <c r="J12" s="63"/>
      <c r="K12" s="63"/>
      <c r="L12" s="63"/>
      <c r="M12" s="63"/>
      <c r="N12" s="63"/>
      <c r="P12" s="1" t="str">
        <f>IF(AND(L4=4,H6=3),"** EVALI - ელექტრონული სიგარეტის/ვეიპორაიზერის გამოყენებასთან ასოცირებული ფილტვის დაზიანება",IF(AND(L4=2,H6=3),"** EVALI - ელექტრონული სიგარეტის/ვეიპორაიზერის გამოყენებასთან ასოცირებული ფილტვის დაზიანება",""))</f>
        <v/>
      </c>
      <c r="AC12" s="12" t="s">
        <v>254</v>
      </c>
    </row>
    <row r="13" spans="1:29" x14ac:dyDescent="0.25">
      <c r="A13" s="63"/>
      <c r="B13" s="63"/>
      <c r="C13" s="63"/>
      <c r="D13" s="63"/>
      <c r="E13" s="63"/>
      <c r="F13" s="63"/>
      <c r="G13" s="63"/>
      <c r="H13" s="63"/>
      <c r="I13" s="63"/>
      <c r="J13" s="63"/>
      <c r="K13" s="63"/>
      <c r="L13" s="63"/>
      <c r="M13" s="63"/>
      <c r="N13" s="63"/>
      <c r="P13" s="1" t="str">
        <f>IF(AND(L4=4,H6=3),"** ფილტვის ინტერსტიციული დაავადება",IF(AND(L4=2,H6=3),"** ფილტვის ინტერსტიციული დაავადება",""))</f>
        <v/>
      </c>
    </row>
    <row r="14" spans="1:29" x14ac:dyDescent="0.25">
      <c r="A14" s="63"/>
      <c r="B14" s="63"/>
      <c r="C14" s="63"/>
      <c r="D14" s="63"/>
      <c r="E14" s="63"/>
      <c r="F14" s="63"/>
      <c r="G14" s="63"/>
      <c r="H14" s="63"/>
      <c r="I14" s="63"/>
      <c r="J14" s="63"/>
      <c r="K14" s="63"/>
      <c r="L14" s="63"/>
      <c r="M14" s="63"/>
      <c r="N14" s="63"/>
      <c r="P14" s="1" t="str">
        <f>IF(AND(L4=4,H6=3),"** ფილტვის კიბო",IF(AND(L4=2,H6=3),"** ფილტვის კიბო",""))</f>
        <v/>
      </c>
    </row>
    <row r="15" spans="1:29" x14ac:dyDescent="0.25">
      <c r="A15" s="2" t="str">
        <f>IF(AND(L4=4,H6=2),"შეაფასეთ გართულებების (მაგ., ემპიემა, ბაქტერიემია) არსებობა","")</f>
        <v/>
      </c>
      <c r="P15" s="1" t="str">
        <f>IF(AND(L4=4,H6=3),"** პულმონური ჰემორაგია",IF(AND(L4=2,H6=3),"** პულმონური ჰემორაგია",""))</f>
        <v/>
      </c>
    </row>
    <row r="16" spans="1:29" x14ac:dyDescent="0.25">
      <c r="O16" s="1" t="str">
        <f>IF(AND(L4=4,H6=3),"* კარდიოვასკულური დაავადებები:",IF(AND(L4=2,H6=3),"* კარდიოვასკულური დაავადებები:",""))</f>
        <v/>
      </c>
    </row>
    <row r="17" spans="15:16" x14ac:dyDescent="0.25">
      <c r="P17" s="1" t="str">
        <f>IF(AND(L4=4,H6=3),"** გულის უკმარისობა მცირე წრეში შეგუბებით",IF(AND(L4=2,H6=3),"** გულის უკმარისობა მცირე წრეში შეგუბებით",""))</f>
        <v/>
      </c>
    </row>
    <row r="18" spans="15:16" x14ac:dyDescent="0.25">
      <c r="P18" s="1" t="str">
        <f>IF(AND(L4=4,H6=3),"** პულმონური ემბოლიზმი",IF(AND(L4=2,H6=3),"** პულმონური ემბოლიზმი",""))</f>
        <v/>
      </c>
    </row>
    <row r="19" spans="15:16" x14ac:dyDescent="0.25">
      <c r="O19" s="1" t="str">
        <f>IF(AND(L4=4,H6=3),"* არარესპირაციული ინფექციები:",IF(AND(L4=2,H6=3),"* არარესპირაციული ინფექციები:",""))</f>
        <v/>
      </c>
    </row>
    <row r="20" spans="15:16" x14ac:dyDescent="0.25">
      <c r="P20" s="1" t="str">
        <f>IF(AND(L4=4,H6=3),"** საშარდე გზების ინფექცია",IF(AND(L4=2,H6=3),"** საშარდე გზების ინფექცია",""))</f>
        <v/>
      </c>
    </row>
    <row r="21" spans="15:16" x14ac:dyDescent="0.25">
      <c r="P21" s="1" t="str">
        <f>IF(AND(L4=4,H6=3),"** ინტრაბდომინური ინფექცია",IF(AND(L4=2,H6=3),"** ინტრააბდომინური ინფექცია",""))</f>
        <v/>
      </c>
    </row>
    <row r="22" spans="15:16" x14ac:dyDescent="0.25">
      <c r="P22" s="1" t="str">
        <f>IF(AND(L4=4,H6=3),"** ენდოკარდიტი",IF(AND(L4=2,H6=3),"** ენდოკარდიტი",""))</f>
        <v/>
      </c>
    </row>
  </sheetData>
  <sheetProtection algorithmName="SHA-512" hashValue="UBJgsgkbT/i+MI/3VMDsmwDsxEJzkxOZp9mMfTe08euxC3y8nYzsllFTnJLNCkUGgFRa14SoVIkAIjcHD4SLzQ==" saltValue="hQQKNYpXYBKNOhvI4KOzow==" spinCount="100000" sheet="1" objects="1" scenarios="1"/>
  <mergeCells count="2">
    <mergeCell ref="A1:N2"/>
    <mergeCell ref="A12:N14"/>
  </mergeCells>
  <hyperlinks>
    <hyperlink ref="A1:N2" location="Sheet1!A1" display="ინტრავენური ანტიბიოტიკოთერაპიიდან ორალურზე გადაყვანა" xr:uid="{F36B189B-3139-4857-8022-FA691F6A05AB}"/>
  </hyperlinks>
  <pageMargins left="0.7" right="0.7" top="0.75" bottom="0.75" header="0.3" footer="0.3"/>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Drop Down 1">
              <controlPr defaultSize="0" autoLine="0" autoPict="0">
                <anchor moveWithCells="1">
                  <from>
                    <xdr:col>11</xdr:col>
                    <xdr:colOff>0</xdr:colOff>
                    <xdr:row>3</xdr:row>
                    <xdr:rowOff>9525</xdr:rowOff>
                  </from>
                  <to>
                    <xdr:col>13</xdr:col>
                    <xdr:colOff>333375</xdr:colOff>
                    <xdr:row>4</xdr:row>
                    <xdr:rowOff>19050</xdr:rowOff>
                  </to>
                </anchor>
              </controlPr>
            </control>
          </mc:Choice>
        </mc:AlternateContent>
        <mc:AlternateContent xmlns:mc="http://schemas.openxmlformats.org/markup-compatibility/2006">
          <mc:Choice Requires="x14">
            <control shapeId="13315" r:id="rId5" name="Drop Down 3">
              <controlPr defaultSize="0" autoLine="0" autoPict="0">
                <anchor moveWithCells="1">
                  <from>
                    <xdr:col>6</xdr:col>
                    <xdr:colOff>666750</xdr:colOff>
                    <xdr:row>4</xdr:row>
                    <xdr:rowOff>180975</xdr:rowOff>
                  </from>
                  <to>
                    <xdr:col>8</xdr:col>
                    <xdr:colOff>285750</xdr:colOff>
                    <xdr:row>6</xdr:row>
                    <xdr:rowOff>0</xdr:rowOff>
                  </to>
                </anchor>
              </controlPr>
            </control>
          </mc:Choice>
        </mc:AlternateContent>
        <mc:AlternateContent xmlns:mc="http://schemas.openxmlformats.org/markup-compatibility/2006">
          <mc:Choice Requires="x14">
            <control shapeId="13316" r:id="rId6" name="Drop Down 4">
              <controlPr defaultSize="0" autoLine="0" autoPict="0">
                <anchor moveWithCells="1">
                  <from>
                    <xdr:col>6</xdr:col>
                    <xdr:colOff>676275</xdr:colOff>
                    <xdr:row>6</xdr:row>
                    <xdr:rowOff>180975</xdr:rowOff>
                  </from>
                  <to>
                    <xdr:col>8</xdr:col>
                    <xdr:colOff>285750</xdr:colOff>
                    <xdr:row>8</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80D2F-605E-48A4-A71F-35DF5045FA5D}">
  <dimension ref="A1:AC16"/>
  <sheetViews>
    <sheetView workbookViewId="0">
      <selection activeCell="P7" sqref="P7"/>
    </sheetView>
  </sheetViews>
  <sheetFormatPr defaultRowHeight="15" x14ac:dyDescent="0.25"/>
  <cols>
    <col min="1" max="16384" width="9" style="1"/>
  </cols>
  <sheetData>
    <row r="1" spans="1:29" x14ac:dyDescent="0.25">
      <c r="A1" s="48" t="s">
        <v>180</v>
      </c>
      <c r="B1" s="48"/>
      <c r="C1" s="48"/>
      <c r="D1" s="48"/>
      <c r="E1" s="48"/>
      <c r="F1" s="48"/>
      <c r="G1" s="48"/>
      <c r="H1" s="48"/>
      <c r="I1" s="48"/>
      <c r="J1" s="48"/>
      <c r="K1" s="48"/>
      <c r="L1" s="48"/>
      <c r="M1" s="48"/>
      <c r="N1" s="48"/>
    </row>
    <row r="2" spans="1:29" x14ac:dyDescent="0.25">
      <c r="A2" s="48"/>
      <c r="B2" s="48"/>
      <c r="C2" s="48"/>
      <c r="D2" s="48"/>
      <c r="E2" s="48"/>
      <c r="F2" s="48"/>
      <c r="G2" s="48"/>
      <c r="H2" s="48"/>
      <c r="I2" s="48"/>
      <c r="J2" s="48"/>
      <c r="K2" s="48"/>
      <c r="L2" s="48"/>
      <c r="M2" s="48"/>
      <c r="N2" s="48"/>
      <c r="AC2" s="1" t="s">
        <v>159</v>
      </c>
    </row>
    <row r="3" spans="1:29" x14ac:dyDescent="0.25">
      <c r="AC3" s="1" t="s">
        <v>0</v>
      </c>
    </row>
    <row r="4" spans="1:29" x14ac:dyDescent="0.25">
      <c r="A4" s="1" t="s">
        <v>185</v>
      </c>
      <c r="L4" s="11"/>
    </row>
    <row r="5" spans="1:29" x14ac:dyDescent="0.25">
      <c r="A5" s="1" t="s">
        <v>181</v>
      </c>
      <c r="L5" s="11">
        <v>1</v>
      </c>
    </row>
    <row r="6" spans="1:29" x14ac:dyDescent="0.25">
      <c r="B6" s="1" t="s">
        <v>182</v>
      </c>
      <c r="P6" s="24"/>
      <c r="AC6" s="1" t="str">
        <f>IF(L5=3,"კი","")</f>
        <v/>
      </c>
    </row>
    <row r="7" spans="1:29" x14ac:dyDescent="0.25">
      <c r="B7" s="1" t="s">
        <v>183</v>
      </c>
      <c r="AC7" s="1" t="str">
        <f>IF(L5=3,"არა","")</f>
        <v/>
      </c>
    </row>
    <row r="8" spans="1:29" x14ac:dyDescent="0.25">
      <c r="B8" s="1" t="s">
        <v>184</v>
      </c>
    </row>
    <row r="9" spans="1:29" x14ac:dyDescent="0.25">
      <c r="J9" s="11"/>
    </row>
    <row r="10" spans="1:29" x14ac:dyDescent="0.25">
      <c r="A10" s="2" t="str">
        <f>IF(L5=2,"გულმკერდის კომპიუტერული ტომოგრაფია 4-8 კვირის შემდეგ",IF(L5=3,"პასუხობს თუ არა პაციენტი ფილტვის კიბოს სკრინინგის შემდეგ კრიტერიუმებს:",""))</f>
        <v/>
      </c>
      <c r="J10" s="11">
        <v>1</v>
      </c>
    </row>
    <row r="11" spans="1:29" x14ac:dyDescent="0.25">
      <c r="O11" s="24"/>
    </row>
    <row r="12" spans="1:29" x14ac:dyDescent="0.25">
      <c r="B12" s="1" t="str">
        <f>IF(L5=3,"** ასაკი 50-80 წელი","")</f>
        <v/>
      </c>
    </row>
    <row r="13" spans="1:29" x14ac:dyDescent="0.25">
      <c r="B13" s="1" t="str">
        <f>IF(L5=3,"** აქტიური ან ახლო წარსულში (თვის დანებება &lt;15 დღის ფარგლებში) მწეველი ≥20 კოლოფი-წელი მწეველობის ანამნეზით.","")</f>
        <v/>
      </c>
    </row>
    <row r="15" spans="1:29" x14ac:dyDescent="0.25">
      <c r="A15" s="2" t="str">
        <f>IF(AND(J10=2,L5=3),"ჩართეთ პაციენტი ფილტვის კიბოს სკრინინგის პროგრამაში",IF(AND(J10=3,L5=3),"არ არის საჭირო განმეორებითი რადიოლოგიური კვლევა",""))</f>
        <v/>
      </c>
    </row>
    <row r="16" spans="1:29" x14ac:dyDescent="0.25">
      <c r="A16" s="2" t="str">
        <f>IF(AND(J10=2,L5=3),"განმეორებითი კომპიუტერული ტომოგრაფია კლინიკური გაუმჯობესებიდან ≥8 კვირის შემდეგ","")</f>
        <v/>
      </c>
    </row>
  </sheetData>
  <sheetProtection algorithmName="SHA-512" hashValue="K+Q9vtVkRc38cxyUyooslvMGIvTBzETKB+zQUhWnURKBXU/2hKrTXI400mk6/cd4CFKqqVedHjeliGQf8Tx2pA==" saltValue="PzFeTUQmIp9IZpJOc3TlAQ==" spinCount="100000" sheet="1" objects="1" scenarios="1"/>
  <mergeCells count="1">
    <mergeCell ref="A1:N2"/>
  </mergeCells>
  <hyperlinks>
    <hyperlink ref="A1:N2" location="Sheet1!A1" display="ინტრავენური ანტიბიოტიკოთერაპიიდან ორალურზე გადაყვანა" xr:uid="{236172BA-7CA3-4932-A9C2-F442D9B25324}"/>
  </hyperlinks>
  <pageMargins left="0.7" right="0.7" top="0.75" bottom="0.75" header="0.3" footer="0.3"/>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Drop Down 1">
              <controlPr defaultSize="0" autoLine="0" autoPict="0">
                <anchor moveWithCells="1">
                  <from>
                    <xdr:col>11</xdr:col>
                    <xdr:colOff>0</xdr:colOff>
                    <xdr:row>3</xdr:row>
                    <xdr:rowOff>171450</xdr:rowOff>
                  </from>
                  <to>
                    <xdr:col>12</xdr:col>
                    <xdr:colOff>123825</xdr:colOff>
                    <xdr:row>5</xdr:row>
                    <xdr:rowOff>38100</xdr:rowOff>
                  </to>
                </anchor>
              </controlPr>
            </control>
          </mc:Choice>
        </mc:AlternateContent>
        <mc:AlternateContent xmlns:mc="http://schemas.openxmlformats.org/markup-compatibility/2006">
          <mc:Choice Requires="x14">
            <control shapeId="14338" r:id="rId5" name="Drop Down 2">
              <controlPr defaultSize="0" autoLine="0" autoPict="0">
                <anchor moveWithCells="1">
                  <from>
                    <xdr:col>8</xdr:col>
                    <xdr:colOff>676275</xdr:colOff>
                    <xdr:row>9</xdr:row>
                    <xdr:rowOff>0</xdr:rowOff>
                  </from>
                  <to>
                    <xdr:col>10</xdr:col>
                    <xdr:colOff>190500</xdr:colOff>
                    <xdr:row>10</xdr:row>
                    <xdr:rowOff>28575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2EA28-68E5-4110-990B-2E1B3C7F3A97}">
  <dimension ref="A1:U52"/>
  <sheetViews>
    <sheetView workbookViewId="0">
      <selection sqref="A1:N2"/>
    </sheetView>
  </sheetViews>
  <sheetFormatPr defaultRowHeight="15" x14ac:dyDescent="0.25"/>
  <cols>
    <col min="1" max="14" width="9" style="1"/>
    <col min="15" max="15" width="9" style="25"/>
    <col min="16" max="21" width="9" style="12"/>
    <col min="22" max="16384" width="9" style="1"/>
  </cols>
  <sheetData>
    <row r="1" spans="1:21" x14ac:dyDescent="0.25">
      <c r="A1" s="48" t="s">
        <v>186</v>
      </c>
      <c r="B1" s="48"/>
      <c r="C1" s="48"/>
      <c r="D1" s="48"/>
      <c r="E1" s="48"/>
      <c r="F1" s="48"/>
      <c r="G1" s="48"/>
      <c r="H1" s="48"/>
      <c r="I1" s="48"/>
      <c r="J1" s="48"/>
      <c r="K1" s="48"/>
      <c r="L1" s="48"/>
      <c r="M1" s="48"/>
      <c r="N1" s="48"/>
    </row>
    <row r="2" spans="1:21" x14ac:dyDescent="0.25">
      <c r="A2" s="48"/>
      <c r="B2" s="48"/>
      <c r="C2" s="48"/>
      <c r="D2" s="48"/>
      <c r="E2" s="48"/>
      <c r="F2" s="48"/>
      <c r="G2" s="48"/>
      <c r="H2" s="48"/>
      <c r="I2" s="48"/>
      <c r="J2" s="48"/>
      <c r="K2" s="48"/>
      <c r="L2" s="48"/>
      <c r="M2" s="48"/>
      <c r="N2" s="48"/>
    </row>
    <row r="3" spans="1:21" x14ac:dyDescent="0.25">
      <c r="C3" s="11"/>
      <c r="O3" s="25" t="s">
        <v>207</v>
      </c>
      <c r="U3" s="12" t="s">
        <v>208</v>
      </c>
    </row>
    <row r="4" spans="1:21" x14ac:dyDescent="0.25">
      <c r="A4" s="2" t="s">
        <v>187</v>
      </c>
      <c r="C4" s="11">
        <v>1</v>
      </c>
      <c r="O4" s="25" t="s">
        <v>245</v>
      </c>
      <c r="U4" s="12" t="s">
        <v>209</v>
      </c>
    </row>
    <row r="5" spans="1:21" x14ac:dyDescent="0.25">
      <c r="O5" s="25" t="s">
        <v>212</v>
      </c>
    </row>
    <row r="6" spans="1:21" x14ac:dyDescent="0.25">
      <c r="A6" s="2" t="str">
        <f>IF(C4&gt;1,"პირველადი არჩევანის რეჟიმი:","")</f>
        <v/>
      </c>
      <c r="E6" s="47" t="str">
        <f>IF(C4=2,U3,IF(C4=3,U6,IF(C4=4,U9,IF(C4=5,U12,IF(C4=6,U15,IF(C4=7,U18,IF(C4=8,U21,IF(C4=9,U21,IF(C4=10,U24,IF(C4=11,U27,IF(C4=12,U30,IF(C4=13,U33,IF(C4=14,U36,IF(C4=15,U39,IF(C4=16,U42,IF(C4=17,O32,IF(C4=18,O35,IF(C4=19,O38,IF(C4=20,O41,IF(C4=21,O44,IF(C4=22,O46,IF(C4=23,O48,IF(C4=24,O51,IF(C4=25,O51,""))))))))))))))))))))))))</f>
        <v/>
      </c>
      <c r="F6" s="47"/>
      <c r="G6" s="47"/>
      <c r="H6" s="47"/>
      <c r="I6" s="47"/>
      <c r="J6" s="47"/>
      <c r="K6" s="47"/>
      <c r="L6" s="47"/>
      <c r="M6" s="47"/>
      <c r="N6" s="47"/>
      <c r="O6" s="25" t="s">
        <v>213</v>
      </c>
      <c r="U6" s="12" t="s">
        <v>210</v>
      </c>
    </row>
    <row r="7" spans="1:21" x14ac:dyDescent="0.25">
      <c r="E7" s="47"/>
      <c r="F7" s="47"/>
      <c r="G7" s="47"/>
      <c r="H7" s="47"/>
      <c r="I7" s="47"/>
      <c r="J7" s="47"/>
      <c r="K7" s="47"/>
      <c r="L7" s="47"/>
      <c r="M7" s="47"/>
      <c r="N7" s="47"/>
      <c r="O7" s="25" t="s">
        <v>188</v>
      </c>
      <c r="U7" s="12" t="s">
        <v>211</v>
      </c>
    </row>
    <row r="8" spans="1:21" x14ac:dyDescent="0.25">
      <c r="O8" s="25" t="s">
        <v>189</v>
      </c>
    </row>
    <row r="9" spans="1:21" x14ac:dyDescent="0.25">
      <c r="O9" s="25" t="s">
        <v>190</v>
      </c>
      <c r="U9" s="12" t="s">
        <v>124</v>
      </c>
    </row>
    <row r="10" spans="1:21" ht="15" customHeight="1" x14ac:dyDescent="0.25">
      <c r="A10" s="2" t="str">
        <f>IF(C4&gt;1,"ალტერნატიული რეჟიმი:","")</f>
        <v/>
      </c>
      <c r="E10" s="47" t="str">
        <f>IF(C4=2,U4,IF(C4=3,U7,IF(C4=4,U10,IF(C4=5,U13,IF(C4=6,U16,IF(C4=7,U19,IF(C4=8,U22,IF(C4=9,U22,IF(C4=10,U25,IF(C4=11,U28,IF(C4=12,U31,IF(C4=13,U34,IF(C4=14,U37,IF(C4=15,U40,IF(C4=16,U43,IF(C4=17,O33,IF(C4=18,O36,IF(C4=19,O39,IF(C4=20,O42,IF(C4=23,O49,IF(C4=24,O52,IF(C4=25,O52,""))))))))))))))))))))))</f>
        <v/>
      </c>
      <c r="F10" s="47"/>
      <c r="G10" s="47"/>
      <c r="H10" s="47"/>
      <c r="I10" s="47"/>
      <c r="J10" s="47"/>
      <c r="K10" s="47"/>
      <c r="L10" s="47"/>
      <c r="M10" s="47"/>
      <c r="N10" s="47"/>
      <c r="O10" s="25" t="s">
        <v>191</v>
      </c>
      <c r="U10" s="12" t="s">
        <v>215</v>
      </c>
    </row>
    <row r="11" spans="1:21" x14ac:dyDescent="0.25">
      <c r="E11" s="47"/>
      <c r="F11" s="47"/>
      <c r="G11" s="47"/>
      <c r="H11" s="47"/>
      <c r="I11" s="47"/>
      <c r="J11" s="47"/>
      <c r="K11" s="47"/>
      <c r="L11" s="47"/>
      <c r="M11" s="47"/>
      <c r="N11" s="47"/>
      <c r="O11" s="25" t="s">
        <v>192</v>
      </c>
    </row>
    <row r="12" spans="1:21" x14ac:dyDescent="0.25">
      <c r="E12" s="47"/>
      <c r="F12" s="47"/>
      <c r="G12" s="47"/>
      <c r="H12" s="47"/>
      <c r="I12" s="47"/>
      <c r="J12" s="47"/>
      <c r="K12" s="47"/>
      <c r="L12" s="47"/>
      <c r="M12" s="47"/>
      <c r="N12" s="47"/>
      <c r="O12" s="25" t="s">
        <v>193</v>
      </c>
      <c r="U12" s="12" t="s">
        <v>214</v>
      </c>
    </row>
    <row r="13" spans="1:21" x14ac:dyDescent="0.25">
      <c r="E13" s="47"/>
      <c r="F13" s="47"/>
      <c r="G13" s="47"/>
      <c r="H13" s="47"/>
      <c r="I13" s="47"/>
      <c r="J13" s="47"/>
      <c r="K13" s="47"/>
      <c r="L13" s="47"/>
      <c r="M13" s="47"/>
      <c r="N13" s="47"/>
      <c r="O13" s="25" t="s">
        <v>194</v>
      </c>
      <c r="U13" s="12" t="s">
        <v>215</v>
      </c>
    </row>
    <row r="14" spans="1:21" x14ac:dyDescent="0.25">
      <c r="E14" s="47"/>
      <c r="F14" s="47"/>
      <c r="G14" s="47"/>
      <c r="H14" s="47"/>
      <c r="I14" s="47"/>
      <c r="J14" s="47"/>
      <c r="K14" s="47"/>
      <c r="L14" s="47"/>
      <c r="M14" s="47"/>
      <c r="N14" s="47"/>
      <c r="O14" s="25" t="s">
        <v>195</v>
      </c>
    </row>
    <row r="15" spans="1:21" x14ac:dyDescent="0.25">
      <c r="E15" s="47"/>
      <c r="F15" s="47"/>
      <c r="G15" s="47"/>
      <c r="H15" s="47"/>
      <c r="I15" s="47"/>
      <c r="J15" s="47"/>
      <c r="K15" s="47"/>
      <c r="L15" s="47"/>
      <c r="M15" s="47"/>
      <c r="N15" s="47"/>
      <c r="O15" s="25" t="s">
        <v>196</v>
      </c>
      <c r="U15" s="12" t="s">
        <v>216</v>
      </c>
    </row>
    <row r="16" spans="1:21" x14ac:dyDescent="0.25">
      <c r="O16" s="26" t="s">
        <v>197</v>
      </c>
      <c r="U16" s="12" t="s">
        <v>217</v>
      </c>
    </row>
    <row r="17" spans="15:21" x14ac:dyDescent="0.25">
      <c r="O17" s="25" t="s">
        <v>198</v>
      </c>
    </row>
    <row r="18" spans="15:21" x14ac:dyDescent="0.25">
      <c r="O18" s="25" t="s">
        <v>199</v>
      </c>
      <c r="U18" s="12" t="s">
        <v>218</v>
      </c>
    </row>
    <row r="19" spans="15:21" x14ac:dyDescent="0.25">
      <c r="O19" s="25" t="s">
        <v>200</v>
      </c>
      <c r="U19" s="12" t="s">
        <v>140</v>
      </c>
    </row>
    <row r="20" spans="15:21" x14ac:dyDescent="0.25">
      <c r="O20" s="25" t="s">
        <v>201</v>
      </c>
    </row>
    <row r="21" spans="15:21" x14ac:dyDescent="0.25">
      <c r="O21" s="25" t="s">
        <v>202</v>
      </c>
      <c r="U21" s="12" t="s">
        <v>219</v>
      </c>
    </row>
    <row r="22" spans="15:21" x14ac:dyDescent="0.25">
      <c r="O22" s="25" t="s">
        <v>203</v>
      </c>
      <c r="U22" s="12" t="s">
        <v>220</v>
      </c>
    </row>
    <row r="23" spans="15:21" x14ac:dyDescent="0.25">
      <c r="O23" s="25" t="s">
        <v>204</v>
      </c>
    </row>
    <row r="24" spans="15:21" x14ac:dyDescent="0.25">
      <c r="O24" s="26" t="s">
        <v>244</v>
      </c>
      <c r="U24" s="12" t="s">
        <v>140</v>
      </c>
    </row>
    <row r="25" spans="15:21" x14ac:dyDescent="0.25">
      <c r="O25" s="25" t="s">
        <v>205</v>
      </c>
      <c r="U25" s="12" t="s">
        <v>221</v>
      </c>
    </row>
    <row r="26" spans="15:21" ht="16.5" x14ac:dyDescent="0.3">
      <c r="O26" s="27" t="s">
        <v>206</v>
      </c>
    </row>
    <row r="27" spans="15:21" x14ac:dyDescent="0.25">
      <c r="U27" s="12" t="s">
        <v>222</v>
      </c>
    </row>
    <row r="28" spans="15:21" x14ac:dyDescent="0.25">
      <c r="U28" s="12" t="s">
        <v>223</v>
      </c>
    </row>
    <row r="30" spans="15:21" x14ac:dyDescent="0.25">
      <c r="U30" s="12" t="s">
        <v>224</v>
      </c>
    </row>
    <row r="31" spans="15:21" x14ac:dyDescent="0.25">
      <c r="U31" s="12" t="s">
        <v>225</v>
      </c>
    </row>
    <row r="32" spans="15:21" x14ac:dyDescent="0.25">
      <c r="O32" s="25" t="s">
        <v>234</v>
      </c>
    </row>
    <row r="33" spans="15:21" x14ac:dyDescent="0.25">
      <c r="O33" s="25" t="s">
        <v>235</v>
      </c>
      <c r="U33" s="12" t="s">
        <v>227</v>
      </c>
    </row>
    <row r="34" spans="15:21" x14ac:dyDescent="0.25">
      <c r="U34" s="12" t="s">
        <v>226</v>
      </c>
    </row>
    <row r="35" spans="15:21" x14ac:dyDescent="0.25">
      <c r="O35" s="25" t="s">
        <v>236</v>
      </c>
    </row>
    <row r="36" spans="15:21" x14ac:dyDescent="0.25">
      <c r="O36" s="25" t="s">
        <v>237</v>
      </c>
      <c r="U36" s="12" t="s">
        <v>229</v>
      </c>
    </row>
    <row r="37" spans="15:21" x14ac:dyDescent="0.25">
      <c r="U37" s="12" t="s">
        <v>228</v>
      </c>
    </row>
    <row r="38" spans="15:21" x14ac:dyDescent="0.25">
      <c r="O38" s="25" t="s">
        <v>220</v>
      </c>
    </row>
    <row r="39" spans="15:21" x14ac:dyDescent="0.25">
      <c r="O39" s="25" t="s">
        <v>237</v>
      </c>
      <c r="U39" s="12" t="s">
        <v>231</v>
      </c>
    </row>
    <row r="40" spans="15:21" x14ac:dyDescent="0.25">
      <c r="U40" s="12" t="s">
        <v>232</v>
      </c>
    </row>
    <row r="41" spans="15:21" x14ac:dyDescent="0.25">
      <c r="O41" s="25" t="s">
        <v>238</v>
      </c>
    </row>
    <row r="42" spans="15:21" x14ac:dyDescent="0.25">
      <c r="O42" s="25" t="s">
        <v>230</v>
      </c>
      <c r="U42" s="12" t="s">
        <v>230</v>
      </c>
    </row>
    <row r="43" spans="15:21" x14ac:dyDescent="0.25">
      <c r="U43" s="12" t="s">
        <v>233</v>
      </c>
    </row>
    <row r="44" spans="15:21" x14ac:dyDescent="0.25">
      <c r="O44" s="25" t="s">
        <v>243</v>
      </c>
    </row>
    <row r="46" spans="15:21" x14ac:dyDescent="0.25">
      <c r="O46" s="25" t="s">
        <v>239</v>
      </c>
    </row>
    <row r="48" spans="15:21" x14ac:dyDescent="0.25">
      <c r="O48" s="25" t="s">
        <v>240</v>
      </c>
    </row>
    <row r="49" spans="15:15" x14ac:dyDescent="0.25">
      <c r="O49" s="25" t="s">
        <v>241</v>
      </c>
    </row>
    <row r="51" spans="15:15" x14ac:dyDescent="0.25">
      <c r="O51" s="25" t="s">
        <v>242</v>
      </c>
    </row>
    <row r="52" spans="15:15" x14ac:dyDescent="0.25">
      <c r="O52" s="25" t="s">
        <v>241</v>
      </c>
    </row>
  </sheetData>
  <sheetProtection algorithmName="SHA-512" hashValue="wJZs6AU6edapANmY0LHFpkZnlZyFsQeYF9sTi5e7CEifhUs76EmjAwJdGUiCfQBudh9wXVOlVTKOpk+fN88UmA==" saltValue="I3IMu2fKpWg6L8ZLtG9qEA==" spinCount="100000" sheet="1" objects="1" scenarios="1"/>
  <mergeCells count="3">
    <mergeCell ref="A1:N2"/>
    <mergeCell ref="E6:N7"/>
    <mergeCell ref="E10:N15"/>
  </mergeCells>
  <hyperlinks>
    <hyperlink ref="A1:N2" location="Sheet1!A1" display="ინტრავენური ანტიბიოტიკოთერაპიიდან ორალურზე გადაყვანა" xr:uid="{4245A565-9EDB-48B5-B169-69A24161E6AA}"/>
  </hyperlinks>
  <pageMargins left="0.7" right="0.7" top="0.75" bottom="0.75" header="0.3" footer="0.3"/>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Drop Down 1">
              <controlPr defaultSize="0" autoLine="0" autoPict="0">
                <anchor moveWithCells="1">
                  <from>
                    <xdr:col>1</xdr:col>
                    <xdr:colOff>114300</xdr:colOff>
                    <xdr:row>3</xdr:row>
                    <xdr:rowOff>9525</xdr:rowOff>
                  </from>
                  <to>
                    <xdr:col>5</xdr:col>
                    <xdr:colOff>514350</xdr:colOff>
                    <xdr:row>3</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AEE6D-54DF-48E5-9D87-BABA7BC8851A}">
  <dimension ref="A1:AC32"/>
  <sheetViews>
    <sheetView workbookViewId="0">
      <selection activeCell="B32" sqref="B32"/>
    </sheetView>
  </sheetViews>
  <sheetFormatPr defaultColWidth="9" defaultRowHeight="15" x14ac:dyDescent="0.25"/>
  <cols>
    <col min="1" max="16384" width="9" style="3"/>
  </cols>
  <sheetData>
    <row r="1" spans="1:29" x14ac:dyDescent="0.25">
      <c r="H1" s="14"/>
      <c r="AC1" s="3" t="s">
        <v>0</v>
      </c>
    </row>
    <row r="2" spans="1:29" x14ac:dyDescent="0.25">
      <c r="A2" s="64" t="s">
        <v>76</v>
      </c>
      <c r="H2" s="14">
        <v>1</v>
      </c>
      <c r="AC2" s="3" t="s">
        <v>1</v>
      </c>
    </row>
    <row r="3" spans="1:29" x14ac:dyDescent="0.25">
      <c r="AC3" s="3" t="s">
        <v>2</v>
      </c>
    </row>
    <row r="4" spans="1:29" x14ac:dyDescent="0.25">
      <c r="B4" s="40" t="str">
        <f>IF(H2=1,"ოთახის ჰაერზე სატურაცია &lt;92%","")</f>
        <v>ოთახის ჰაერზე სატურაცია &lt;92%</v>
      </c>
      <c r="C4" s="40"/>
      <c r="D4" s="40"/>
      <c r="E4" s="40"/>
      <c r="I4" s="40" t="str">
        <f>IF(H2=1,"ოთახის ჰაერზე სატურაცია &gt;92%","")</f>
        <v>ოთახის ჰაერზე სატურაცია &gt;92%</v>
      </c>
      <c r="J4" s="40"/>
      <c r="K4" s="40"/>
      <c r="L4" s="40"/>
      <c r="AC4" s="3" t="s">
        <v>3</v>
      </c>
    </row>
    <row r="5" spans="1:29" x14ac:dyDescent="0.25">
      <c r="B5" s="42" t="str">
        <f>IF(H2=1,"↓",IF(H2=2,"↓",IF(H2=3,"↓",IF(H2=4,"↓",IF(H2=5,"↓",IF(H2=6,"↓",""))))))</f>
        <v>↓</v>
      </c>
      <c r="C5" s="42"/>
      <c r="D5" s="42"/>
      <c r="E5" s="42"/>
      <c r="I5" s="43" t="str">
        <f>IF(H2=1,"↓","")</f>
        <v>↓</v>
      </c>
      <c r="J5" s="43"/>
      <c r="K5" s="43"/>
      <c r="L5" s="43"/>
      <c r="O5" s="4"/>
      <c r="AC5" s="3" t="s">
        <v>4</v>
      </c>
    </row>
    <row r="6" spans="1:29" x14ac:dyDescent="0.25">
      <c r="B6" s="41" t="str">
        <f>IF(H2=1,"ჰოსპიტალიზაცია",IF(H2=2,"ინტენსიური თერაპია",IF(H2=3,"ინტენსიური თერაპია",IF(H2=4,"ინტენსიური თერაპია",IF(H2=5,"ინტენსიური თერაპია",IF(H2=6,"ინტენსიური თერაპია",""))))))</f>
        <v>ჰოსპიტალიზაცია</v>
      </c>
      <c r="C6" s="41"/>
      <c r="D6" s="41"/>
      <c r="E6" s="41"/>
      <c r="I6" s="7" t="str">
        <f>IF(H2=1,"PSI/PORT","")</f>
        <v>PSI/PORT</v>
      </c>
      <c r="J6" s="41" t="str">
        <f>IF(H2=1,"ან","")</f>
        <v>ან</v>
      </c>
      <c r="K6" s="41"/>
      <c r="L6" s="7" t="str">
        <f>IF(H2=1,"CURB-65","")</f>
        <v>CURB-65</v>
      </c>
      <c r="AC6" s="3" t="s">
        <v>5</v>
      </c>
    </row>
    <row r="7" spans="1:29" x14ac:dyDescent="0.25">
      <c r="I7" s="9" t="str">
        <f>IF(H2=1,"↓","")</f>
        <v>↓</v>
      </c>
      <c r="J7" s="4"/>
      <c r="K7" s="4"/>
      <c r="L7" s="9" t="str">
        <f>IF(H2=1,"↓","")</f>
        <v>↓</v>
      </c>
    </row>
    <row r="8" spans="1:29" ht="15" customHeight="1" x14ac:dyDescent="0.25">
      <c r="B8" s="39" t="str">
        <f>IF(H2=1,"ინტენსიური თერაპია, თუ არის ჩამოთვლილთაგან 3 ან მეტი:","")</f>
        <v>ინტენსიური თერაპია, თუ არის ჩამოთვლილთაგან 3 ან მეტი:</v>
      </c>
      <c r="C8" s="39"/>
      <c r="D8" s="39"/>
      <c r="E8" s="39"/>
      <c r="F8" s="39"/>
      <c r="I8" s="4" t="str">
        <f>PSI!A39</f>
        <v>I კლასი</v>
      </c>
      <c r="K8" s="38" t="str">
        <f>IF(H2=1,CURB!A20,"")</f>
        <v>ამბულატორიული მართვა</v>
      </c>
      <c r="L8" s="38"/>
      <c r="M8" s="38"/>
    </row>
    <row r="9" spans="1:29" x14ac:dyDescent="0.25">
      <c r="B9" s="39"/>
      <c r="C9" s="39"/>
      <c r="D9" s="39"/>
      <c r="E9" s="39"/>
      <c r="F9" s="39"/>
      <c r="I9" s="9" t="str">
        <f>IF(H2=1,"↓","")</f>
        <v>↓</v>
      </c>
      <c r="K9" s="32"/>
      <c r="L9" s="32"/>
      <c r="M9" s="32"/>
    </row>
    <row r="10" spans="1:29" ht="15" customHeight="1" x14ac:dyDescent="0.25">
      <c r="B10" s="3" t="str">
        <f>IF(H2=1,"- დარღვეული მენტალური სტატუსი;","")</f>
        <v>- დარღვეული მენტალური სტატუსი;</v>
      </c>
      <c r="G10" s="8" t="str">
        <f>IF(I8="კლასი 4","←",IF(I8="კლასი 5","←",""))</f>
        <v/>
      </c>
      <c r="H10" s="37" t="str">
        <f>IF(I8="I კლასი","ამბულატორიული მართვა",IF(I8="II კლასი","ამბულატორიული მართვა",IF(I8="III კლასი","ამბულატორიული მართვა ან ხანმოკლე სტაციონარიზაცია",IF(I8="IV კლასი","ჰოსპიტალიზაცია",IF(I8="V კლასი","ჰოსპიტალიზაცია","")))))</f>
        <v>ამბულატორიული მართვა</v>
      </c>
      <c r="I10" s="37"/>
      <c r="J10" s="37"/>
    </row>
    <row r="11" spans="1:29" x14ac:dyDescent="0.25">
      <c r="B11" s="3" t="str">
        <f>IF(H2=1,"- ჰიპოტენზია მოცულობითი შევსების საჭიროებით;","")</f>
        <v>- ჰიპოტენზია მოცულობითი შევსების საჭიროებით;</v>
      </c>
      <c r="H11" s="37"/>
      <c r="I11" s="37"/>
      <c r="J11" s="37"/>
    </row>
    <row r="12" spans="1:29" x14ac:dyDescent="0.25">
      <c r="B12" s="3" t="str">
        <f>IF(H2=1,"- ჰიპოთერამია &lt;36C;","")</f>
        <v>- ჰიპოთერამია &lt;36C;</v>
      </c>
      <c r="H12" s="31"/>
      <c r="I12" s="31"/>
      <c r="J12" s="31"/>
    </row>
    <row r="13" spans="1:29" x14ac:dyDescent="0.25">
      <c r="B13" s="3" t="str">
        <f>IF(H2=1,"- სუნთქვის სიხშირე ≤30/წთ;","")</f>
        <v>- სუნთქვის სიხშირე ≤30/წთ;</v>
      </c>
    </row>
    <row r="14" spans="1:29" x14ac:dyDescent="0.25">
      <c r="B14" s="3" t="str">
        <f>IF(H2=1,"- PaO2/FiO2 ≤250;","")</f>
        <v>- PaO2/FiO2 ≤250;</v>
      </c>
    </row>
    <row r="15" spans="1:29" x14ac:dyDescent="0.25">
      <c r="B15" s="3" t="str">
        <f>IF(H2=1,"- შარდოვანას აზოტი ≥20 მგ/დლ ან 7 მმოლ/ლ);","")</f>
        <v>- შარდოვანას აზოტი ≥20 მგ/დლ ან 7 მმოლ/ლ);</v>
      </c>
    </row>
    <row r="16" spans="1:29" x14ac:dyDescent="0.25">
      <c r="B16" s="3" t="str">
        <f>IF(H2=1,"- ლეიკოპენია&lt;4000/მკლ;","")</f>
        <v>- ლეიკოპენია&lt;4000/მკლ;</v>
      </c>
    </row>
    <row r="17" spans="1:13" x14ac:dyDescent="0.25">
      <c r="B17" s="3" t="str">
        <f>IF(H2=1,"- თრომბოციტოპენია&lt;100 000/მლ;","")</f>
        <v>- თრომბოციტოპენია&lt;100 000/მლ;</v>
      </c>
    </row>
    <row r="18" spans="1:13" x14ac:dyDescent="0.25">
      <c r="B18" s="3" t="str">
        <f>IF(H2=1,"- მულტილობულური ინფილტრაცია.","")</f>
        <v>- მულტილობულური ინფილტრაცია.</v>
      </c>
    </row>
    <row r="20" spans="1:13" x14ac:dyDescent="0.25">
      <c r="B20" s="36" t="s">
        <v>104</v>
      </c>
      <c r="C20" s="36"/>
      <c r="D20" s="36"/>
      <c r="E20" s="36"/>
      <c r="F20" s="36"/>
      <c r="G20" s="36"/>
    </row>
    <row r="21" spans="1:13" x14ac:dyDescent="0.25">
      <c r="B21" s="36" t="s">
        <v>23</v>
      </c>
      <c r="C21" s="36"/>
      <c r="D21" s="36"/>
      <c r="E21" s="36"/>
      <c r="F21" s="36"/>
      <c r="G21" s="36"/>
    </row>
    <row r="22" spans="1:13" x14ac:dyDescent="0.25">
      <c r="B22" s="30" t="s">
        <v>77</v>
      </c>
      <c r="C22" s="30"/>
      <c r="D22" s="30"/>
      <c r="E22" s="30"/>
      <c r="F22" s="30"/>
      <c r="G22" s="30"/>
      <c r="H22" s="30"/>
      <c r="I22" s="30"/>
    </row>
    <row r="23" spans="1:13" x14ac:dyDescent="0.25">
      <c r="B23" s="36" t="s">
        <v>96</v>
      </c>
      <c r="C23" s="36"/>
      <c r="D23" s="36"/>
      <c r="E23" s="36"/>
      <c r="F23" s="36"/>
      <c r="G23" s="36"/>
      <c r="H23" s="36"/>
      <c r="I23" s="36"/>
    </row>
    <row r="24" spans="1:13" x14ac:dyDescent="0.25">
      <c r="B24" s="36" t="s">
        <v>152</v>
      </c>
      <c r="C24" s="36"/>
      <c r="D24" s="36"/>
      <c r="E24" s="36"/>
      <c r="F24" s="36"/>
      <c r="G24" s="36"/>
      <c r="H24" s="36"/>
    </row>
    <row r="25" spans="1:13" x14ac:dyDescent="0.25">
      <c r="B25" s="36" t="s">
        <v>161</v>
      </c>
      <c r="C25" s="36"/>
      <c r="D25" s="36"/>
      <c r="E25" s="36"/>
      <c r="F25" s="36"/>
      <c r="G25" s="36"/>
      <c r="H25" s="36"/>
    </row>
    <row r="26" spans="1:13" x14ac:dyDescent="0.25">
      <c r="B26" s="36" t="s">
        <v>165</v>
      </c>
      <c r="C26" s="36"/>
      <c r="D26" s="36"/>
      <c r="E26" s="36"/>
      <c r="F26" s="36"/>
      <c r="G26" s="36"/>
      <c r="H26" s="36"/>
      <c r="I26" s="36"/>
      <c r="J26" s="36"/>
      <c r="K26" s="36"/>
      <c r="L26" s="36"/>
      <c r="M26" s="36"/>
    </row>
    <row r="27" spans="1:13" x14ac:dyDescent="0.25">
      <c r="B27" s="36" t="s">
        <v>175</v>
      </c>
      <c r="C27" s="36"/>
      <c r="D27" s="36"/>
      <c r="E27" s="36"/>
      <c r="F27" s="36"/>
    </row>
    <row r="28" spans="1:13" x14ac:dyDescent="0.25">
      <c r="B28" s="36" t="s">
        <v>180</v>
      </c>
      <c r="C28" s="36"/>
      <c r="D28" s="36"/>
      <c r="E28" s="36"/>
      <c r="F28" s="36"/>
      <c r="G28" s="36"/>
    </row>
    <row r="29" spans="1:13" x14ac:dyDescent="0.25">
      <c r="B29" s="36" t="s">
        <v>186</v>
      </c>
      <c r="C29" s="36"/>
      <c r="D29" s="36"/>
      <c r="E29" s="36"/>
      <c r="F29" s="36"/>
    </row>
    <row r="32" spans="1:13" x14ac:dyDescent="0.25">
      <c r="A32" s="28" t="s">
        <v>251</v>
      </c>
      <c r="B32" s="29" t="s">
        <v>22</v>
      </c>
    </row>
  </sheetData>
  <sheetProtection algorithmName="SHA-512" hashValue="hnagYhTGRfHdZk232E6F0yKF08V6rfmgsvVcUDYkLiQ50RL5xX95h0hcq3AxBIXLWbH5oze46zMntkAXrZw4Og==" saltValue="3b/rIO4YoUiGgN/Ng74LxQ==" spinCount="100000" sheet="1" objects="1" scenarios="1"/>
  <mergeCells count="18">
    <mergeCell ref="I4:L4"/>
    <mergeCell ref="B4:E4"/>
    <mergeCell ref="B6:E6"/>
    <mergeCell ref="B5:E5"/>
    <mergeCell ref="J6:K6"/>
    <mergeCell ref="I5:L5"/>
    <mergeCell ref="K8:M8"/>
    <mergeCell ref="B8:F9"/>
    <mergeCell ref="B20:G20"/>
    <mergeCell ref="B21:G21"/>
    <mergeCell ref="B23:I23"/>
    <mergeCell ref="H10:J11"/>
    <mergeCell ref="B28:G28"/>
    <mergeCell ref="B29:F29"/>
    <mergeCell ref="B24:H24"/>
    <mergeCell ref="B25:H25"/>
    <mergeCell ref="B26:M26"/>
    <mergeCell ref="B27:F27"/>
  </mergeCells>
  <conditionalFormatting sqref="B4">
    <cfRule type="containsText" dxfId="16" priority="5" operator="containsText" text="&lt;92%">
      <formula>NOT(ISERROR(SEARCH("&lt;92%",B4)))</formula>
    </cfRule>
  </conditionalFormatting>
  <conditionalFormatting sqref="B6">
    <cfRule type="containsText" dxfId="15" priority="1" operator="containsText" text="ინტენსიური თერაპია">
      <formula>NOT(ISERROR(SEARCH("ინტენსიური თერაპია",B6)))</formula>
    </cfRule>
    <cfRule type="containsText" dxfId="14" priority="3" operator="containsText" text="ჰოსპიტალიზაცია">
      <formula>NOT(ISERROR(SEARCH("ჰოსპიტალიზაცია",B6)))</formula>
    </cfRule>
  </conditionalFormatting>
  <conditionalFormatting sqref="H10 H12:J12">
    <cfRule type="containsText" dxfId="13" priority="2" operator="containsText" text="ჰოსპიტალიზაცია">
      <formula>NOT(ISERROR(SEARCH("ჰოსპიტალიზაცია",H10)))</formula>
    </cfRule>
  </conditionalFormatting>
  <conditionalFormatting sqref="I4">
    <cfRule type="containsText" dxfId="12" priority="4" operator="containsText" text="&gt;92%">
      <formula>NOT(ISERROR(SEARCH("&gt;92%",I4)))</formula>
    </cfRule>
  </conditionalFormatting>
  <hyperlinks>
    <hyperlink ref="I6" location="PSI!A1" display="PSI!A1" xr:uid="{29380369-3983-4B91-91C9-6EF87E0010F5}"/>
    <hyperlink ref="L6" location="CURB!A1" display="CURB-65" xr:uid="{3FB63AA0-497D-4DEF-BB37-242B47FD8CF6}"/>
    <hyperlink ref="B21" location="'Empiric GW'!A1" display="ემპირიული ანტიბიოტიკოთერაპია ზოგად თერაპიაში" xr:uid="{40F1BAAB-E707-4D0F-9BA9-4BAADD450896}"/>
    <hyperlink ref="B22:H22" location="Penicillin!A1" display="ანამნეზში პენცილინზე რეაქციის მქონე პაციენტის ანტიბიოტიკოთერაპია" xr:uid="{2A97B4B3-B31E-423A-9589-1A3CAD21B174}"/>
    <hyperlink ref="B23" location="ICU!A1" display="ემპირიული ანტიბიოტიკოთერაპია ინტენსიურ თერაპიასა და რეანიმაციაში" xr:uid="{F6113381-E48F-4E32-AC74-3773D93C8C00}"/>
    <hyperlink ref="B20" location="Inpatients!A1" display="ამბულატორიული ემპირიული ანტიბიოტიკოთერაპია" xr:uid="{6F10CAE6-72D7-4C08-BFA7-6B61C0EC3DEF}"/>
    <hyperlink ref="B24" location="Switching!A1" display="ინტრავენური ანტიბიოტიკოთერაპიიდან ორალურზე გადაყვანა" xr:uid="{82263234-04DA-42D0-BAEF-F63385FF43B8}"/>
    <hyperlink ref="B25" location="Duration!A1" display="გაურთულებელი პნევმონიის ანტიბიოტიკოთერაპიის ხანგრძლივობა" xr:uid="{96BFFF5E-66EB-4476-A0BC-3F673801FA86}"/>
    <hyperlink ref="B26" location="Procalcitonin!A1" display="კლინიკურად სტაბილურ პაციენტებში ანტიბიოტიკოთერაპიის შეწყვეტა პროკალციტონინის მაჩვენებლის მიხედვით" xr:uid="{E3662CE0-2349-4CE9-8B0F-1F74F0DC65A9}"/>
    <hyperlink ref="B27" location="'Follow-up'!A1" display="იმუნოკომპეტენტური პაციენტის ფოლოუაპი" xr:uid="{33362216-7020-44E4-9308-4275CE545671}"/>
    <hyperlink ref="B28" location="Radiography!A1" display="იმუნოკომპეტენტური პაციენტის ფოლოუაპ რადიოგრაფია" xr:uid="{B47D8EA1-B972-4F3A-9248-22FB0AD444DA}"/>
    <hyperlink ref="B29" location="Regimens!A1" display="რეკომენდებული ანტიმიკრობული რეჟიმები" xr:uid="{5B0BFBA7-DD07-43CD-948D-B0451709F6F3}"/>
    <hyperlink ref="A32" location="Main!A1" display="←" xr:uid="{07A3816B-6649-47AE-94B4-240A7E57865E}"/>
    <hyperlink ref="B32" location="Main!A1" display="უკან" xr:uid="{E1E59633-5CCB-4651-AFA0-D400ACFD5B67}"/>
  </hyperlinks>
  <pageMargins left="0.7" right="0.7" top="0.75" bottom="0.75" header="0.3" footer="0.3"/>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7</xdr:col>
                    <xdr:colOff>9525</xdr:colOff>
                    <xdr:row>1</xdr:row>
                    <xdr:rowOff>19050</xdr:rowOff>
                  </from>
                  <to>
                    <xdr:col>13</xdr:col>
                    <xdr:colOff>28575</xdr:colOff>
                    <xdr:row>2</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763F4-2CD6-490E-80E1-373BF2E61CD0}">
  <dimension ref="A1:DI330"/>
  <sheetViews>
    <sheetView topLeftCell="A25" workbookViewId="0">
      <selection activeCell="M15" sqref="M15"/>
    </sheetView>
  </sheetViews>
  <sheetFormatPr defaultRowHeight="15" x14ac:dyDescent="0.25"/>
  <cols>
    <col min="1" max="8" width="9" style="65"/>
    <col min="9" max="9" width="9" style="3"/>
    <col min="10" max="10" width="9" style="25"/>
    <col min="11" max="11" width="7.25" style="3" bestFit="1" customWidth="1"/>
    <col min="12" max="113" width="9" style="3"/>
    <col min="114" max="16384" width="9" style="65"/>
  </cols>
  <sheetData>
    <row r="1" spans="1:15" x14ac:dyDescent="0.25">
      <c r="A1" s="102" t="s">
        <v>267</v>
      </c>
      <c r="B1" s="102"/>
      <c r="C1" s="102"/>
      <c r="D1" s="102"/>
      <c r="E1" s="102"/>
      <c r="F1" s="102"/>
      <c r="G1" s="102"/>
      <c r="H1" s="102"/>
    </row>
    <row r="2" spans="1:15" x14ac:dyDescent="0.25">
      <c r="A2" s="102"/>
      <c r="B2" s="102"/>
      <c r="C2" s="102"/>
      <c r="D2" s="102"/>
      <c r="E2" s="102"/>
      <c r="F2" s="102"/>
      <c r="G2" s="102"/>
      <c r="H2" s="102"/>
    </row>
    <row r="3" spans="1:15" x14ac:dyDescent="0.25">
      <c r="A3" s="102"/>
      <c r="B3" s="102"/>
      <c r="C3" s="102"/>
      <c r="D3" s="102"/>
      <c r="E3" s="102"/>
      <c r="F3" s="102"/>
      <c r="G3" s="102"/>
      <c r="H3" s="102"/>
    </row>
    <row r="4" spans="1:15" ht="12.75" customHeight="1" thickBot="1" x14ac:dyDescent="0.3">
      <c r="A4" s="66"/>
      <c r="B4" s="66"/>
      <c r="C4" s="66"/>
      <c r="D4" s="66"/>
      <c r="E4" s="66"/>
      <c r="F4" s="66"/>
      <c r="G4" s="66"/>
      <c r="H4" s="66"/>
    </row>
    <row r="5" spans="1:15" x14ac:dyDescent="0.25">
      <c r="A5" s="67" t="s">
        <v>6</v>
      </c>
      <c r="B5" s="68"/>
      <c r="C5" s="69"/>
      <c r="D5" s="41" t="s">
        <v>7</v>
      </c>
      <c r="E5" s="3"/>
      <c r="F5" s="3"/>
      <c r="G5" s="3"/>
      <c r="H5" s="3"/>
      <c r="J5" s="25">
        <f>C5</f>
        <v>0</v>
      </c>
    </row>
    <row r="6" spans="1:15" ht="15.75" thickBot="1" x14ac:dyDescent="0.3">
      <c r="A6" s="70"/>
      <c r="B6" s="71"/>
      <c r="C6" s="72"/>
      <c r="D6" s="41"/>
      <c r="E6" s="3"/>
      <c r="F6" s="3"/>
      <c r="G6" s="3"/>
      <c r="H6" s="3"/>
      <c r="J6" s="25">
        <f>IF(H12=TRUE,-10,0)</f>
        <v>0</v>
      </c>
    </row>
    <row r="7" spans="1:15" s="3" customFormat="1" ht="19.5" thickBot="1" x14ac:dyDescent="0.3">
      <c r="A7" s="73"/>
      <c r="B7" s="73"/>
      <c r="C7" s="74"/>
      <c r="D7" s="4"/>
      <c r="J7" s="25">
        <f>IF(F8=TRUE,10,0)</f>
        <v>0</v>
      </c>
    </row>
    <row r="8" spans="1:15" ht="34.5" customHeight="1" thickBot="1" x14ac:dyDescent="0.3">
      <c r="A8" s="75" t="s">
        <v>266</v>
      </c>
      <c r="B8" s="76"/>
      <c r="C8" s="76"/>
      <c r="D8" s="76"/>
      <c r="E8" s="76"/>
      <c r="F8" s="77" t="b">
        <v>0</v>
      </c>
      <c r="G8" s="3"/>
      <c r="H8" s="3"/>
      <c r="J8" s="25">
        <f>IF(H15=TRUE,30,0)</f>
        <v>0</v>
      </c>
    </row>
    <row r="9" spans="1:15" ht="15.75" thickBot="1" x14ac:dyDescent="0.3">
      <c r="A9" s="3"/>
      <c r="B9" s="3"/>
      <c r="C9" s="3"/>
      <c r="D9" s="3"/>
      <c r="E9" s="3"/>
      <c r="F9" s="3"/>
      <c r="G9" s="3"/>
      <c r="H9" s="3"/>
      <c r="J9" s="25">
        <f>IF(H16=TRUE,20,0)</f>
        <v>0</v>
      </c>
    </row>
    <row r="10" spans="1:15" ht="30.75" customHeight="1" thickBot="1" x14ac:dyDescent="0.3">
      <c r="A10" s="78" t="s">
        <v>8</v>
      </c>
      <c r="B10" s="79"/>
      <c r="C10" s="79"/>
      <c r="D10" s="79"/>
      <c r="E10" s="79"/>
      <c r="F10" s="79"/>
      <c r="G10" s="79"/>
      <c r="H10" s="80"/>
      <c r="J10" s="25">
        <f>IF(H17=TRUE,10,0)</f>
        <v>0</v>
      </c>
    </row>
    <row r="11" spans="1:15" ht="29.25" customHeight="1" x14ac:dyDescent="0.25">
      <c r="A11" s="81" t="s">
        <v>9</v>
      </c>
      <c r="B11" s="82"/>
      <c r="C11" s="82"/>
      <c r="D11" s="82"/>
      <c r="E11" s="82"/>
      <c r="F11" s="82"/>
      <c r="G11" s="82"/>
      <c r="H11" s="83" t="b">
        <v>0</v>
      </c>
      <c r="J11" s="84">
        <f>IF(H18=TRUE,10,0)</f>
        <v>0</v>
      </c>
      <c r="K11" s="4"/>
      <c r="L11" s="99"/>
    </row>
    <row r="12" spans="1:15" ht="30" customHeight="1" thickBot="1" x14ac:dyDescent="0.3">
      <c r="A12" s="85" t="s">
        <v>10</v>
      </c>
      <c r="B12" s="86"/>
      <c r="C12" s="86"/>
      <c r="D12" s="86"/>
      <c r="E12" s="86"/>
      <c r="F12" s="86"/>
      <c r="G12" s="86"/>
      <c r="H12" s="87" t="b">
        <v>0</v>
      </c>
      <c r="J12" s="84">
        <f>IF(H19=TRUE,10,0)</f>
        <v>0</v>
      </c>
    </row>
    <row r="13" spans="1:15" ht="15.75" thickBot="1" x14ac:dyDescent="0.3">
      <c r="A13" s="3"/>
      <c r="B13" s="3"/>
      <c r="C13" s="3"/>
      <c r="D13" s="3"/>
      <c r="E13" s="3"/>
      <c r="F13" s="3"/>
      <c r="G13" s="3"/>
      <c r="H13" s="3"/>
      <c r="J13" s="84">
        <f>IF(H22=TRUE,20,0)</f>
        <v>0</v>
      </c>
      <c r="O13" s="4"/>
    </row>
    <row r="14" spans="1:15" ht="29.25" customHeight="1" thickBot="1" x14ac:dyDescent="0.3">
      <c r="A14" s="88" t="s">
        <v>11</v>
      </c>
      <c r="B14" s="89"/>
      <c r="C14" s="89"/>
      <c r="D14" s="89"/>
      <c r="E14" s="89"/>
      <c r="F14" s="89"/>
      <c r="G14" s="89"/>
      <c r="H14" s="90"/>
      <c r="J14" s="84">
        <f>IF(H23=TRUE,20,0)</f>
        <v>0</v>
      </c>
      <c r="O14" s="4"/>
    </row>
    <row r="15" spans="1:15" ht="30.75" customHeight="1" x14ac:dyDescent="0.25">
      <c r="A15" s="81" t="s">
        <v>12</v>
      </c>
      <c r="B15" s="82"/>
      <c r="C15" s="82"/>
      <c r="D15" s="82"/>
      <c r="E15" s="82"/>
      <c r="F15" s="82"/>
      <c r="G15" s="82"/>
      <c r="H15" s="83" t="b">
        <v>0</v>
      </c>
      <c r="J15" s="25">
        <f>IF(H24=TRUE,20,0)</f>
        <v>0</v>
      </c>
      <c r="O15" s="4"/>
    </row>
    <row r="16" spans="1:15" ht="30.75" customHeight="1" x14ac:dyDescent="0.25">
      <c r="A16" s="91" t="s">
        <v>13</v>
      </c>
      <c r="B16" s="92"/>
      <c r="C16" s="92"/>
      <c r="D16" s="92"/>
      <c r="E16" s="92"/>
      <c r="F16" s="92"/>
      <c r="G16" s="92"/>
      <c r="H16" s="93" t="b">
        <v>0</v>
      </c>
      <c r="J16" s="25">
        <f>IF(H25=TRUE,15,0)</f>
        <v>0</v>
      </c>
      <c r="O16" s="4"/>
    </row>
    <row r="17" spans="1:15" ht="30.75" customHeight="1" x14ac:dyDescent="0.25">
      <c r="A17" s="91" t="s">
        <v>14</v>
      </c>
      <c r="B17" s="92"/>
      <c r="C17" s="92"/>
      <c r="D17" s="92"/>
      <c r="E17" s="92"/>
      <c r="F17" s="92"/>
      <c r="G17" s="92"/>
      <c r="H17" s="94" t="b">
        <v>0</v>
      </c>
      <c r="J17" s="25">
        <f>IF(H26=TRUE,10,0)</f>
        <v>0</v>
      </c>
      <c r="O17" s="4"/>
    </row>
    <row r="18" spans="1:15" ht="30.75" customHeight="1" x14ac:dyDescent="0.25">
      <c r="A18" s="91" t="s">
        <v>15</v>
      </c>
      <c r="B18" s="92"/>
      <c r="C18" s="92"/>
      <c r="D18" s="92"/>
      <c r="E18" s="92"/>
      <c r="F18" s="92"/>
      <c r="G18" s="92"/>
      <c r="H18" s="94" t="b">
        <v>0</v>
      </c>
      <c r="J18" s="25">
        <f>IF(H29=TRUE,30,0)</f>
        <v>0</v>
      </c>
      <c r="O18" s="4"/>
    </row>
    <row r="19" spans="1:15" ht="30" customHeight="1" thickBot="1" x14ac:dyDescent="0.3">
      <c r="A19" s="85" t="s">
        <v>16</v>
      </c>
      <c r="B19" s="86"/>
      <c r="C19" s="86"/>
      <c r="D19" s="86"/>
      <c r="E19" s="86"/>
      <c r="F19" s="86"/>
      <c r="G19" s="86"/>
      <c r="H19" s="87" t="b">
        <v>0</v>
      </c>
      <c r="J19" s="25">
        <f>IF(H30=TRUE,20,0)</f>
        <v>0</v>
      </c>
      <c r="O19" s="4"/>
    </row>
    <row r="20" spans="1:15" ht="15.75" thickBot="1" x14ac:dyDescent="0.3">
      <c r="A20" s="3"/>
      <c r="B20" s="3"/>
      <c r="C20" s="3"/>
      <c r="D20" s="3"/>
      <c r="E20" s="3"/>
      <c r="F20" s="3"/>
      <c r="G20" s="3"/>
      <c r="H20" s="3"/>
      <c r="J20" s="25">
        <f>IF(H31=TRUE,20,0)</f>
        <v>0</v>
      </c>
      <c r="O20" s="4"/>
    </row>
    <row r="21" spans="1:15" ht="28.5" customHeight="1" thickBot="1" x14ac:dyDescent="0.3">
      <c r="A21" s="88" t="s">
        <v>17</v>
      </c>
      <c r="B21" s="89"/>
      <c r="C21" s="89"/>
      <c r="D21" s="89"/>
      <c r="E21" s="89"/>
      <c r="F21" s="89"/>
      <c r="G21" s="89"/>
      <c r="H21" s="90"/>
      <c r="J21" s="25">
        <f>IF(H32=TRUE,10,0)</f>
        <v>0</v>
      </c>
      <c r="O21" s="4"/>
    </row>
    <row r="22" spans="1:15" ht="30.75" customHeight="1" x14ac:dyDescent="0.25">
      <c r="A22" s="81" t="s">
        <v>18</v>
      </c>
      <c r="B22" s="82"/>
      <c r="C22" s="82"/>
      <c r="D22" s="82"/>
      <c r="E22" s="82"/>
      <c r="F22" s="82"/>
      <c r="G22" s="82"/>
      <c r="H22" s="83" t="b">
        <v>0</v>
      </c>
      <c r="J22" s="25">
        <f>IF(H35=TRUE,10,0)</f>
        <v>0</v>
      </c>
      <c r="O22" s="4"/>
    </row>
    <row r="23" spans="1:15" ht="30.75" customHeight="1" x14ac:dyDescent="0.25">
      <c r="A23" s="91" t="s">
        <v>19</v>
      </c>
      <c r="B23" s="92"/>
      <c r="C23" s="92"/>
      <c r="D23" s="92"/>
      <c r="E23" s="92"/>
      <c r="F23" s="92"/>
      <c r="G23" s="92"/>
      <c r="H23" s="94" t="b">
        <v>0</v>
      </c>
      <c r="J23" s="25">
        <f>IF(H33=TRUE,10,0)</f>
        <v>0</v>
      </c>
      <c r="O23" s="4"/>
    </row>
    <row r="24" spans="1:15" ht="30.75" customHeight="1" x14ac:dyDescent="0.25">
      <c r="A24" s="91" t="s">
        <v>265</v>
      </c>
      <c r="B24" s="92"/>
      <c r="C24" s="92"/>
      <c r="D24" s="92"/>
      <c r="E24" s="92"/>
      <c r="F24" s="92"/>
      <c r="G24" s="92"/>
      <c r="H24" s="94" t="b">
        <v>0</v>
      </c>
      <c r="J24" s="25">
        <f>IF(H34=TRUE,10,0)</f>
        <v>0</v>
      </c>
      <c r="O24" s="4"/>
    </row>
    <row r="25" spans="1:15" ht="30.75" customHeight="1" x14ac:dyDescent="0.25">
      <c r="A25" s="95" t="s">
        <v>275</v>
      </c>
      <c r="B25" s="96"/>
      <c r="C25" s="96"/>
      <c r="D25" s="96"/>
      <c r="E25" s="96"/>
      <c r="F25" s="96"/>
      <c r="G25" s="96"/>
      <c r="H25" s="97" t="b">
        <v>0</v>
      </c>
      <c r="J25" s="105">
        <f>SUM(J5:J24)</f>
        <v>0</v>
      </c>
      <c r="O25" s="4"/>
    </row>
    <row r="26" spans="1:15" ht="31.5" customHeight="1" thickBot="1" x14ac:dyDescent="0.3">
      <c r="A26" s="85" t="s">
        <v>276</v>
      </c>
      <c r="B26" s="86"/>
      <c r="C26" s="86"/>
      <c r="D26" s="86"/>
      <c r="E26" s="86"/>
      <c r="F26" s="86"/>
      <c r="G26" s="86"/>
      <c r="H26" s="87" t="b">
        <v>0</v>
      </c>
      <c r="O26" s="4"/>
    </row>
    <row r="27" spans="1:15" s="3" customFormat="1" ht="15.75" thickBot="1" x14ac:dyDescent="0.3">
      <c r="J27" s="25"/>
      <c r="O27" s="4"/>
    </row>
    <row r="28" spans="1:15" s="3" customFormat="1" ht="33" customHeight="1" thickBot="1" x14ac:dyDescent="0.3">
      <c r="A28" s="88" t="s">
        <v>20</v>
      </c>
      <c r="B28" s="89"/>
      <c r="C28" s="89"/>
      <c r="D28" s="89"/>
      <c r="E28" s="89"/>
      <c r="F28" s="89"/>
      <c r="G28" s="89"/>
      <c r="H28" s="90"/>
      <c r="J28" s="25"/>
    </row>
    <row r="29" spans="1:15" s="3" customFormat="1" ht="29.25" customHeight="1" x14ac:dyDescent="0.25">
      <c r="A29" s="81" t="s">
        <v>268</v>
      </c>
      <c r="B29" s="82"/>
      <c r="C29" s="82"/>
      <c r="D29" s="82"/>
      <c r="E29" s="82"/>
      <c r="F29" s="82"/>
      <c r="G29" s="82"/>
      <c r="H29" s="83" t="b">
        <v>0</v>
      </c>
      <c r="J29" s="25"/>
    </row>
    <row r="30" spans="1:15" s="3" customFormat="1" ht="29.25" customHeight="1" x14ac:dyDescent="0.25">
      <c r="A30" s="91" t="s">
        <v>269</v>
      </c>
      <c r="B30" s="92"/>
      <c r="C30" s="92"/>
      <c r="D30" s="92"/>
      <c r="E30" s="92"/>
      <c r="F30" s="92"/>
      <c r="G30" s="92"/>
      <c r="H30" s="94" t="b">
        <v>0</v>
      </c>
      <c r="J30" s="25"/>
    </row>
    <row r="31" spans="1:15" s="3" customFormat="1" ht="34.5" customHeight="1" x14ac:dyDescent="0.25">
      <c r="A31" s="91" t="s">
        <v>270</v>
      </c>
      <c r="B31" s="92"/>
      <c r="C31" s="92"/>
      <c r="D31" s="92"/>
      <c r="E31" s="92"/>
      <c r="F31" s="92"/>
      <c r="G31" s="92"/>
      <c r="H31" s="94" t="b">
        <v>0</v>
      </c>
      <c r="J31" s="25"/>
    </row>
    <row r="32" spans="1:15" s="3" customFormat="1" ht="34.5" customHeight="1" x14ac:dyDescent="0.25">
      <c r="A32" s="91" t="s">
        <v>271</v>
      </c>
      <c r="B32" s="92"/>
      <c r="C32" s="92"/>
      <c r="D32" s="92"/>
      <c r="E32" s="92"/>
      <c r="F32" s="92"/>
      <c r="G32" s="92"/>
      <c r="H32" s="94" t="b">
        <v>0</v>
      </c>
      <c r="J32" s="25"/>
    </row>
    <row r="33" spans="1:22" s="3" customFormat="1" ht="34.5" customHeight="1" x14ac:dyDescent="0.25">
      <c r="A33" s="91" t="s">
        <v>272</v>
      </c>
      <c r="B33" s="92"/>
      <c r="C33" s="92"/>
      <c r="D33" s="92"/>
      <c r="E33" s="92"/>
      <c r="F33" s="92"/>
      <c r="G33" s="92"/>
      <c r="H33" s="94" t="b">
        <v>0</v>
      </c>
      <c r="J33" s="25"/>
      <c r="P33" s="25" t="s">
        <v>283</v>
      </c>
      <c r="Q33" s="25" t="s">
        <v>277</v>
      </c>
      <c r="R33" s="25" t="s">
        <v>278</v>
      </c>
      <c r="S33" s="25"/>
      <c r="T33" s="25"/>
      <c r="U33" s="25" t="s">
        <v>292</v>
      </c>
      <c r="V33" s="25"/>
    </row>
    <row r="34" spans="1:22" s="3" customFormat="1" ht="34.5" customHeight="1" x14ac:dyDescent="0.25">
      <c r="A34" s="95" t="s">
        <v>273</v>
      </c>
      <c r="B34" s="96"/>
      <c r="C34" s="96"/>
      <c r="D34" s="96"/>
      <c r="E34" s="96"/>
      <c r="F34" s="96"/>
      <c r="G34" s="96"/>
      <c r="H34" s="97" t="b">
        <v>0</v>
      </c>
      <c r="J34" s="25"/>
      <c r="P34" s="25" t="s">
        <v>282</v>
      </c>
      <c r="Q34" s="25" t="s">
        <v>279</v>
      </c>
      <c r="R34" s="25" t="s">
        <v>286</v>
      </c>
      <c r="S34" s="25"/>
      <c r="T34" s="25"/>
      <c r="U34" s="25" t="s">
        <v>292</v>
      </c>
      <c r="V34" s="25"/>
    </row>
    <row r="35" spans="1:22" s="3" customFormat="1" ht="31.5" customHeight="1" thickBot="1" x14ac:dyDescent="0.3">
      <c r="A35" s="85" t="s">
        <v>274</v>
      </c>
      <c r="B35" s="86"/>
      <c r="C35" s="86"/>
      <c r="D35" s="86"/>
      <c r="E35" s="86"/>
      <c r="F35" s="86"/>
      <c r="G35" s="86"/>
      <c r="H35" s="87" t="b">
        <v>0</v>
      </c>
      <c r="J35" s="25"/>
      <c r="K35" s="100"/>
      <c r="L35" s="101"/>
      <c r="P35" s="25" t="s">
        <v>280</v>
      </c>
      <c r="Q35" s="25" t="s">
        <v>284</v>
      </c>
      <c r="R35" s="25" t="s">
        <v>285</v>
      </c>
      <c r="S35" s="25"/>
      <c r="T35" s="25"/>
      <c r="U35" s="25" t="s">
        <v>292</v>
      </c>
      <c r="V35" s="25"/>
    </row>
    <row r="36" spans="1:22" s="3" customFormat="1" ht="60" customHeight="1" thickBot="1" x14ac:dyDescent="0.3">
      <c r="A36" s="107">
        <f>J25</f>
        <v>0</v>
      </c>
      <c r="B36" s="103" t="str">
        <f>IF(J25&lt;91,"დაბალი რისკი",IF(AND(J25&gt;90,J25&lt;131),"საშუალო რისკი",IF(J25&gt;130,"მაღალი რისკი","")))</f>
        <v>დაბალი რისკი</v>
      </c>
      <c r="C36" s="103"/>
      <c r="D36" s="103" t="str">
        <f>IF(J25&lt;41,"I კლასი: სიკვდილობა 0.1%",IF(AND(J25&gt;40,J25&lt;71),"II კლასი: სიკვდილობა 0.6-0.9%",IF(AND(J25&gt;70,J25&lt;91),"III კლასი: სიკვდილობა 0.9-2.8%",IF(AND(J25&gt;90,J25&lt;131),"IV კლასი: სიკვდილობა 8.2-9.3%",IF(J25&gt;130,"V კლასი: სიკვდილობა 27.0-29.2%","")))))</f>
        <v>I კლასი: სიკვდილობა 0.1%</v>
      </c>
      <c r="E36" s="103"/>
      <c r="F36" s="103"/>
      <c r="G36" s="103"/>
      <c r="H36" s="104"/>
      <c r="J36" s="106" t="s">
        <v>22</v>
      </c>
      <c r="K36" s="100"/>
      <c r="L36" s="101"/>
      <c r="P36" s="25" t="s">
        <v>281</v>
      </c>
      <c r="Q36" s="25" t="s">
        <v>287</v>
      </c>
      <c r="R36" s="25" t="s">
        <v>290</v>
      </c>
      <c r="S36" s="25"/>
      <c r="T36" s="25"/>
      <c r="U36" s="25" t="s">
        <v>293</v>
      </c>
      <c r="V36" s="25"/>
    </row>
    <row r="37" spans="1:22" s="3" customFormat="1" x14ac:dyDescent="0.25">
      <c r="J37" s="25"/>
      <c r="K37" s="100"/>
      <c r="L37" s="101"/>
      <c r="P37" s="25"/>
      <c r="Q37" s="25"/>
      <c r="R37" s="25"/>
      <c r="S37" s="25"/>
      <c r="T37" s="25"/>
      <c r="U37" s="25"/>
      <c r="V37" s="25"/>
    </row>
    <row r="38" spans="1:22" s="3" customFormat="1" x14ac:dyDescent="0.25">
      <c r="A38" s="98"/>
      <c r="B38" s="98"/>
      <c r="C38" s="98"/>
      <c r="D38" s="98"/>
      <c r="E38" s="98"/>
      <c r="F38" s="98"/>
      <c r="G38" s="98"/>
      <c r="H38" s="98"/>
      <c r="J38" s="25"/>
      <c r="K38" s="100"/>
      <c r="L38" s="101"/>
      <c r="P38" s="25" t="s">
        <v>288</v>
      </c>
      <c r="Q38" s="25" t="s">
        <v>289</v>
      </c>
      <c r="R38" s="25" t="s">
        <v>291</v>
      </c>
      <c r="S38" s="25"/>
      <c r="T38" s="25"/>
      <c r="U38" s="25" t="s">
        <v>294</v>
      </c>
      <c r="V38" s="25"/>
    </row>
    <row r="39" spans="1:22" s="3" customFormat="1" x14ac:dyDescent="0.25">
      <c r="A39" s="25" t="str">
        <f>IF(J25&lt;41,"I კლასი",IF(AND(J25&gt;40,J25&lt;71),"II კლასი",IF(AND(J25&gt;70,J25&lt;91),"III კლასი",IF(AND(J25&gt;90,J25&lt;131),"IV კლასი",IF(J25&gt;130,"V კლასი","")))))</f>
        <v>I კლასი</v>
      </c>
      <c r="J39" s="25"/>
      <c r="K39" s="100"/>
      <c r="L39" s="101"/>
    </row>
    <row r="40" spans="1:22" s="3" customFormat="1" x14ac:dyDescent="0.25">
      <c r="A40" s="25"/>
      <c r="J40" s="25"/>
    </row>
    <row r="41" spans="1:22" s="3" customFormat="1" x14ac:dyDescent="0.25">
      <c r="J41" s="25"/>
    </row>
    <row r="42" spans="1:22" s="3" customFormat="1" x14ac:dyDescent="0.25">
      <c r="J42" s="25"/>
    </row>
    <row r="43" spans="1:22" s="3" customFormat="1" x14ac:dyDescent="0.25">
      <c r="J43" s="25"/>
    </row>
    <row r="44" spans="1:22" s="3" customFormat="1" x14ac:dyDescent="0.25">
      <c r="J44" s="25"/>
    </row>
    <row r="45" spans="1:22" s="3" customFormat="1" x14ac:dyDescent="0.25">
      <c r="J45" s="25"/>
    </row>
    <row r="46" spans="1:22" s="3" customFormat="1" x14ac:dyDescent="0.25">
      <c r="J46" s="25"/>
    </row>
    <row r="47" spans="1:22" s="3" customFormat="1" x14ac:dyDescent="0.25">
      <c r="J47" s="25"/>
    </row>
    <row r="48" spans="1:22" s="3" customFormat="1" x14ac:dyDescent="0.25">
      <c r="J48" s="25"/>
    </row>
    <row r="49" spans="1:10" s="3" customFormat="1" x14ac:dyDescent="0.25">
      <c r="A49" s="98"/>
      <c r="B49" s="98"/>
      <c r="C49" s="98"/>
      <c r="D49" s="98"/>
      <c r="E49" s="98"/>
      <c r="F49" s="98"/>
      <c r="G49" s="98"/>
      <c r="H49" s="98"/>
      <c r="J49" s="25"/>
    </row>
    <row r="50" spans="1:10" s="3" customFormat="1" x14ac:dyDescent="0.25">
      <c r="J50" s="25"/>
    </row>
    <row r="51" spans="1:10" s="3" customFormat="1" x14ac:dyDescent="0.25">
      <c r="J51" s="25"/>
    </row>
    <row r="52" spans="1:10" s="3" customFormat="1" x14ac:dyDescent="0.25">
      <c r="J52" s="25"/>
    </row>
    <row r="53" spans="1:10" s="3" customFormat="1" x14ac:dyDescent="0.25">
      <c r="J53" s="25"/>
    </row>
    <row r="54" spans="1:10" s="3" customFormat="1" x14ac:dyDescent="0.25">
      <c r="J54" s="25"/>
    </row>
    <row r="55" spans="1:10" s="3" customFormat="1" x14ac:dyDescent="0.25">
      <c r="J55" s="25"/>
    </row>
    <row r="56" spans="1:10" s="3" customFormat="1" x14ac:dyDescent="0.25">
      <c r="J56" s="25"/>
    </row>
    <row r="57" spans="1:10" s="3" customFormat="1" x14ac:dyDescent="0.25">
      <c r="J57" s="25"/>
    </row>
    <row r="58" spans="1:10" s="3" customFormat="1" x14ac:dyDescent="0.25">
      <c r="J58" s="25"/>
    </row>
    <row r="59" spans="1:10" s="3" customFormat="1" x14ac:dyDescent="0.25">
      <c r="J59" s="25"/>
    </row>
    <row r="60" spans="1:10" s="3" customFormat="1" x14ac:dyDescent="0.25">
      <c r="J60" s="25"/>
    </row>
    <row r="61" spans="1:10" s="3" customFormat="1" x14ac:dyDescent="0.25">
      <c r="J61" s="25"/>
    </row>
    <row r="62" spans="1:10" s="3" customFormat="1" x14ac:dyDescent="0.25">
      <c r="J62" s="25"/>
    </row>
    <row r="63" spans="1:10" s="3" customFormat="1" x14ac:dyDescent="0.25">
      <c r="J63" s="25"/>
    </row>
    <row r="64" spans="1:10" s="3" customFormat="1" x14ac:dyDescent="0.25">
      <c r="J64" s="25"/>
    </row>
    <row r="65" spans="10:10" s="3" customFormat="1" x14ac:dyDescent="0.25">
      <c r="J65" s="25"/>
    </row>
    <row r="66" spans="10:10" s="3" customFormat="1" x14ac:dyDescent="0.25">
      <c r="J66" s="25"/>
    </row>
    <row r="67" spans="10:10" s="3" customFormat="1" x14ac:dyDescent="0.25">
      <c r="J67" s="25"/>
    </row>
    <row r="68" spans="10:10" s="3" customFormat="1" x14ac:dyDescent="0.25">
      <c r="J68" s="25"/>
    </row>
    <row r="69" spans="10:10" s="3" customFormat="1" x14ac:dyDescent="0.25">
      <c r="J69" s="25"/>
    </row>
    <row r="70" spans="10:10" s="3" customFormat="1" x14ac:dyDescent="0.25">
      <c r="J70" s="25"/>
    </row>
    <row r="71" spans="10:10" s="3" customFormat="1" x14ac:dyDescent="0.25">
      <c r="J71" s="25"/>
    </row>
    <row r="72" spans="10:10" s="3" customFormat="1" x14ac:dyDescent="0.25">
      <c r="J72" s="25"/>
    </row>
    <row r="73" spans="10:10" s="3" customFormat="1" x14ac:dyDescent="0.25">
      <c r="J73" s="25"/>
    </row>
    <row r="74" spans="10:10" s="3" customFormat="1" x14ac:dyDescent="0.25">
      <c r="J74" s="25"/>
    </row>
    <row r="75" spans="10:10" s="3" customFormat="1" x14ac:dyDescent="0.25">
      <c r="J75" s="25"/>
    </row>
    <row r="76" spans="10:10" s="3" customFormat="1" x14ac:dyDescent="0.25">
      <c r="J76" s="25"/>
    </row>
    <row r="77" spans="10:10" s="3" customFormat="1" x14ac:dyDescent="0.25">
      <c r="J77" s="25"/>
    </row>
    <row r="78" spans="10:10" s="3" customFormat="1" x14ac:dyDescent="0.25">
      <c r="J78" s="25"/>
    </row>
    <row r="79" spans="10:10" s="3" customFormat="1" x14ac:dyDescent="0.25">
      <c r="J79" s="25"/>
    </row>
    <row r="80" spans="10:10" s="3" customFormat="1" x14ac:dyDescent="0.25">
      <c r="J80" s="25"/>
    </row>
    <row r="81" spans="10:10" s="3" customFormat="1" x14ac:dyDescent="0.25">
      <c r="J81" s="25"/>
    </row>
    <row r="82" spans="10:10" s="3" customFormat="1" x14ac:dyDescent="0.25">
      <c r="J82" s="25"/>
    </row>
    <row r="83" spans="10:10" s="3" customFormat="1" x14ac:dyDescent="0.25">
      <c r="J83" s="25"/>
    </row>
    <row r="84" spans="10:10" s="3" customFormat="1" x14ac:dyDescent="0.25">
      <c r="J84" s="25"/>
    </row>
    <row r="85" spans="10:10" s="3" customFormat="1" x14ac:dyDescent="0.25">
      <c r="J85" s="25"/>
    </row>
    <row r="86" spans="10:10" s="3" customFormat="1" x14ac:dyDescent="0.25">
      <c r="J86" s="25"/>
    </row>
    <row r="87" spans="10:10" s="3" customFormat="1" x14ac:dyDescent="0.25">
      <c r="J87" s="25"/>
    </row>
    <row r="88" spans="10:10" s="3" customFormat="1" x14ac:dyDescent="0.25">
      <c r="J88" s="25"/>
    </row>
    <row r="89" spans="10:10" s="3" customFormat="1" x14ac:dyDescent="0.25">
      <c r="J89" s="25"/>
    </row>
    <row r="90" spans="10:10" s="3" customFormat="1" x14ac:dyDescent="0.25">
      <c r="J90" s="25"/>
    </row>
    <row r="91" spans="10:10" s="3" customFormat="1" x14ac:dyDescent="0.25">
      <c r="J91" s="25"/>
    </row>
    <row r="92" spans="10:10" s="3" customFormat="1" x14ac:dyDescent="0.25">
      <c r="J92" s="25"/>
    </row>
    <row r="93" spans="10:10" s="3" customFormat="1" x14ac:dyDescent="0.25">
      <c r="J93" s="25"/>
    </row>
    <row r="94" spans="10:10" s="3" customFormat="1" x14ac:dyDescent="0.25">
      <c r="J94" s="25"/>
    </row>
    <row r="95" spans="10:10" s="3" customFormat="1" x14ac:dyDescent="0.25">
      <c r="J95" s="25"/>
    </row>
    <row r="96" spans="10:10" s="3" customFormat="1" x14ac:dyDescent="0.25">
      <c r="J96" s="25"/>
    </row>
    <row r="97" spans="10:10" s="3" customFormat="1" x14ac:dyDescent="0.25">
      <c r="J97" s="25"/>
    </row>
    <row r="98" spans="10:10" s="3" customFormat="1" x14ac:dyDescent="0.25">
      <c r="J98" s="25"/>
    </row>
    <row r="99" spans="10:10" s="3" customFormat="1" x14ac:dyDescent="0.25">
      <c r="J99" s="25"/>
    </row>
    <row r="100" spans="10:10" s="3" customFormat="1" x14ac:dyDescent="0.25">
      <c r="J100" s="25"/>
    </row>
    <row r="101" spans="10:10" s="3" customFormat="1" x14ac:dyDescent="0.25">
      <c r="J101" s="25"/>
    </row>
    <row r="102" spans="10:10" s="3" customFormat="1" x14ac:dyDescent="0.25">
      <c r="J102" s="25"/>
    </row>
    <row r="103" spans="10:10" s="3" customFormat="1" x14ac:dyDescent="0.25">
      <c r="J103" s="25"/>
    </row>
    <row r="104" spans="10:10" s="3" customFormat="1" x14ac:dyDescent="0.25">
      <c r="J104" s="25"/>
    </row>
    <row r="105" spans="10:10" s="3" customFormat="1" x14ac:dyDescent="0.25">
      <c r="J105" s="25"/>
    </row>
    <row r="106" spans="10:10" s="3" customFormat="1" x14ac:dyDescent="0.25">
      <c r="J106" s="25"/>
    </row>
    <row r="107" spans="10:10" s="3" customFormat="1" x14ac:dyDescent="0.25">
      <c r="J107" s="25"/>
    </row>
    <row r="108" spans="10:10" s="3" customFormat="1" x14ac:dyDescent="0.25">
      <c r="J108" s="25"/>
    </row>
    <row r="109" spans="10:10" s="3" customFormat="1" x14ac:dyDescent="0.25">
      <c r="J109" s="25"/>
    </row>
    <row r="110" spans="10:10" s="3" customFormat="1" x14ac:dyDescent="0.25">
      <c r="J110" s="25"/>
    </row>
    <row r="111" spans="10:10" s="3" customFormat="1" x14ac:dyDescent="0.25">
      <c r="J111" s="25"/>
    </row>
    <row r="112" spans="10:10" s="3" customFormat="1" x14ac:dyDescent="0.25">
      <c r="J112" s="25"/>
    </row>
    <row r="113" spans="10:10" s="3" customFormat="1" x14ac:dyDescent="0.25">
      <c r="J113" s="25"/>
    </row>
    <row r="114" spans="10:10" s="3" customFormat="1" x14ac:dyDescent="0.25">
      <c r="J114" s="25"/>
    </row>
    <row r="115" spans="10:10" s="3" customFormat="1" x14ac:dyDescent="0.25">
      <c r="J115" s="25"/>
    </row>
    <row r="116" spans="10:10" s="3" customFormat="1" x14ac:dyDescent="0.25">
      <c r="J116" s="25"/>
    </row>
    <row r="117" spans="10:10" s="3" customFormat="1" x14ac:dyDescent="0.25">
      <c r="J117" s="25"/>
    </row>
    <row r="118" spans="10:10" s="3" customFormat="1" x14ac:dyDescent="0.25">
      <c r="J118" s="25"/>
    </row>
    <row r="119" spans="10:10" s="3" customFormat="1" x14ac:dyDescent="0.25">
      <c r="J119" s="25"/>
    </row>
    <row r="120" spans="10:10" s="3" customFormat="1" x14ac:dyDescent="0.25">
      <c r="J120" s="25"/>
    </row>
    <row r="121" spans="10:10" s="3" customFormat="1" x14ac:dyDescent="0.25">
      <c r="J121" s="25"/>
    </row>
    <row r="122" spans="10:10" s="3" customFormat="1" x14ac:dyDescent="0.25">
      <c r="J122" s="25"/>
    </row>
    <row r="123" spans="10:10" s="3" customFormat="1" x14ac:dyDescent="0.25">
      <c r="J123" s="25"/>
    </row>
    <row r="124" spans="10:10" s="3" customFormat="1" x14ac:dyDescent="0.25">
      <c r="J124" s="25"/>
    </row>
    <row r="125" spans="10:10" s="3" customFormat="1" x14ac:dyDescent="0.25">
      <c r="J125" s="25"/>
    </row>
    <row r="126" spans="10:10" s="3" customFormat="1" x14ac:dyDescent="0.25">
      <c r="J126" s="25"/>
    </row>
    <row r="127" spans="10:10" s="3" customFormat="1" x14ac:dyDescent="0.25">
      <c r="J127" s="25"/>
    </row>
    <row r="128" spans="10:10" s="3" customFormat="1" x14ac:dyDescent="0.25">
      <c r="J128" s="25"/>
    </row>
    <row r="129" spans="10:10" s="3" customFormat="1" x14ac:dyDescent="0.25">
      <c r="J129" s="25"/>
    </row>
    <row r="130" spans="10:10" s="3" customFormat="1" x14ac:dyDescent="0.25">
      <c r="J130" s="25"/>
    </row>
    <row r="131" spans="10:10" s="3" customFormat="1" x14ac:dyDescent="0.25">
      <c r="J131" s="25"/>
    </row>
    <row r="132" spans="10:10" s="3" customFormat="1" x14ac:dyDescent="0.25">
      <c r="J132" s="25"/>
    </row>
    <row r="133" spans="10:10" s="3" customFormat="1" x14ac:dyDescent="0.25">
      <c r="J133" s="25"/>
    </row>
    <row r="134" spans="10:10" s="3" customFormat="1" x14ac:dyDescent="0.25">
      <c r="J134" s="25"/>
    </row>
    <row r="135" spans="10:10" s="3" customFormat="1" x14ac:dyDescent="0.25">
      <c r="J135" s="25"/>
    </row>
    <row r="136" spans="10:10" s="3" customFormat="1" x14ac:dyDescent="0.25">
      <c r="J136" s="25"/>
    </row>
    <row r="137" spans="10:10" s="3" customFormat="1" x14ac:dyDescent="0.25">
      <c r="J137" s="25"/>
    </row>
    <row r="138" spans="10:10" s="3" customFormat="1" x14ac:dyDescent="0.25">
      <c r="J138" s="25"/>
    </row>
    <row r="139" spans="10:10" s="3" customFormat="1" x14ac:dyDescent="0.25">
      <c r="J139" s="25"/>
    </row>
    <row r="140" spans="10:10" s="3" customFormat="1" x14ac:dyDescent="0.25">
      <c r="J140" s="25"/>
    </row>
    <row r="141" spans="10:10" s="3" customFormat="1" x14ac:dyDescent="0.25">
      <c r="J141" s="25"/>
    </row>
    <row r="142" spans="10:10" s="3" customFormat="1" x14ac:dyDescent="0.25">
      <c r="J142" s="25"/>
    </row>
    <row r="143" spans="10:10" s="3" customFormat="1" x14ac:dyDescent="0.25">
      <c r="J143" s="25"/>
    </row>
    <row r="144" spans="10:10" s="3" customFormat="1" x14ac:dyDescent="0.25">
      <c r="J144" s="25"/>
    </row>
    <row r="145" spans="10:10" s="3" customFormat="1" x14ac:dyDescent="0.25">
      <c r="J145" s="25"/>
    </row>
    <row r="146" spans="10:10" s="3" customFormat="1" x14ac:dyDescent="0.25">
      <c r="J146" s="25"/>
    </row>
    <row r="147" spans="10:10" s="3" customFormat="1" x14ac:dyDescent="0.25">
      <c r="J147" s="25"/>
    </row>
    <row r="148" spans="10:10" s="3" customFormat="1" x14ac:dyDescent="0.25">
      <c r="J148" s="25"/>
    </row>
    <row r="149" spans="10:10" s="3" customFormat="1" x14ac:dyDescent="0.25">
      <c r="J149" s="25"/>
    </row>
    <row r="150" spans="10:10" s="3" customFormat="1" x14ac:dyDescent="0.25">
      <c r="J150" s="25"/>
    </row>
    <row r="151" spans="10:10" s="3" customFormat="1" x14ac:dyDescent="0.25">
      <c r="J151" s="25"/>
    </row>
    <row r="152" spans="10:10" s="3" customFormat="1" x14ac:dyDescent="0.25">
      <c r="J152" s="25"/>
    </row>
    <row r="153" spans="10:10" s="3" customFormat="1" x14ac:dyDescent="0.25">
      <c r="J153" s="25"/>
    </row>
    <row r="154" spans="10:10" s="3" customFormat="1" x14ac:dyDescent="0.25">
      <c r="J154" s="25"/>
    </row>
    <row r="155" spans="10:10" s="3" customFormat="1" x14ac:dyDescent="0.25">
      <c r="J155" s="25"/>
    </row>
    <row r="156" spans="10:10" s="3" customFormat="1" x14ac:dyDescent="0.25">
      <c r="J156" s="25"/>
    </row>
    <row r="157" spans="10:10" s="3" customFormat="1" x14ac:dyDescent="0.25">
      <c r="J157" s="25"/>
    </row>
    <row r="158" spans="10:10" s="3" customFormat="1" x14ac:dyDescent="0.25">
      <c r="J158" s="25"/>
    </row>
    <row r="159" spans="10:10" s="3" customFormat="1" x14ac:dyDescent="0.25">
      <c r="J159" s="25"/>
    </row>
    <row r="160" spans="10:10" s="3" customFormat="1" x14ac:dyDescent="0.25">
      <c r="J160" s="25"/>
    </row>
    <row r="161" spans="10:10" s="3" customFormat="1" x14ac:dyDescent="0.25">
      <c r="J161" s="25"/>
    </row>
    <row r="162" spans="10:10" s="3" customFormat="1" x14ac:dyDescent="0.25">
      <c r="J162" s="25"/>
    </row>
    <row r="163" spans="10:10" s="3" customFormat="1" x14ac:dyDescent="0.25">
      <c r="J163" s="25"/>
    </row>
    <row r="164" spans="10:10" s="3" customFormat="1" x14ac:dyDescent="0.25">
      <c r="J164" s="25"/>
    </row>
    <row r="165" spans="10:10" s="3" customFormat="1" x14ac:dyDescent="0.25">
      <c r="J165" s="25"/>
    </row>
    <row r="166" spans="10:10" s="3" customFormat="1" x14ac:dyDescent="0.25">
      <c r="J166" s="25"/>
    </row>
    <row r="167" spans="10:10" s="3" customFormat="1" x14ac:dyDescent="0.25">
      <c r="J167" s="25"/>
    </row>
    <row r="168" spans="10:10" s="3" customFormat="1" x14ac:dyDescent="0.25">
      <c r="J168" s="25"/>
    </row>
    <row r="169" spans="10:10" s="3" customFormat="1" x14ac:dyDescent="0.25">
      <c r="J169" s="25"/>
    </row>
    <row r="170" spans="10:10" s="3" customFormat="1" x14ac:dyDescent="0.25">
      <c r="J170" s="25"/>
    </row>
    <row r="171" spans="10:10" s="3" customFormat="1" x14ac:dyDescent="0.25">
      <c r="J171" s="25"/>
    </row>
    <row r="172" spans="10:10" s="3" customFormat="1" x14ac:dyDescent="0.25">
      <c r="J172" s="25"/>
    </row>
    <row r="173" spans="10:10" s="3" customFormat="1" x14ac:dyDescent="0.25">
      <c r="J173" s="25"/>
    </row>
    <row r="174" spans="10:10" s="3" customFormat="1" x14ac:dyDescent="0.25">
      <c r="J174" s="25"/>
    </row>
    <row r="175" spans="10:10" s="3" customFormat="1" x14ac:dyDescent="0.25">
      <c r="J175" s="25"/>
    </row>
    <row r="176" spans="10:10" s="3" customFormat="1" x14ac:dyDescent="0.25">
      <c r="J176" s="25"/>
    </row>
    <row r="177" spans="10:10" s="3" customFormat="1" x14ac:dyDescent="0.25">
      <c r="J177" s="25"/>
    </row>
    <row r="178" spans="10:10" s="3" customFormat="1" x14ac:dyDescent="0.25">
      <c r="J178" s="25"/>
    </row>
    <row r="179" spans="10:10" s="3" customFormat="1" x14ac:dyDescent="0.25">
      <c r="J179" s="25"/>
    </row>
    <row r="180" spans="10:10" s="3" customFormat="1" x14ac:dyDescent="0.25">
      <c r="J180" s="25"/>
    </row>
    <row r="181" spans="10:10" s="3" customFormat="1" x14ac:dyDescent="0.25">
      <c r="J181" s="25"/>
    </row>
    <row r="182" spans="10:10" s="3" customFormat="1" x14ac:dyDescent="0.25">
      <c r="J182" s="25"/>
    </row>
    <row r="183" spans="10:10" s="3" customFormat="1" x14ac:dyDescent="0.25">
      <c r="J183" s="25"/>
    </row>
    <row r="184" spans="10:10" s="3" customFormat="1" x14ac:dyDescent="0.25">
      <c r="J184" s="25"/>
    </row>
    <row r="185" spans="10:10" s="3" customFormat="1" x14ac:dyDescent="0.25">
      <c r="J185" s="25"/>
    </row>
    <row r="186" spans="10:10" s="3" customFormat="1" x14ac:dyDescent="0.25">
      <c r="J186" s="25"/>
    </row>
    <row r="187" spans="10:10" s="3" customFormat="1" x14ac:dyDescent="0.25">
      <c r="J187" s="25"/>
    </row>
    <row r="188" spans="10:10" s="3" customFormat="1" x14ac:dyDescent="0.25">
      <c r="J188" s="25"/>
    </row>
    <row r="189" spans="10:10" s="3" customFormat="1" x14ac:dyDescent="0.25">
      <c r="J189" s="25"/>
    </row>
    <row r="190" spans="10:10" s="3" customFormat="1" x14ac:dyDescent="0.25">
      <c r="J190" s="25"/>
    </row>
    <row r="191" spans="10:10" s="3" customFormat="1" x14ac:dyDescent="0.25">
      <c r="J191" s="25"/>
    </row>
    <row r="192" spans="10:10" s="3" customFormat="1" x14ac:dyDescent="0.25">
      <c r="J192" s="25"/>
    </row>
    <row r="193" spans="10:10" s="3" customFormat="1" x14ac:dyDescent="0.25">
      <c r="J193" s="25"/>
    </row>
    <row r="194" spans="10:10" s="3" customFormat="1" x14ac:dyDescent="0.25">
      <c r="J194" s="25"/>
    </row>
    <row r="195" spans="10:10" s="3" customFormat="1" x14ac:dyDescent="0.25">
      <c r="J195" s="25"/>
    </row>
    <row r="196" spans="10:10" s="3" customFormat="1" x14ac:dyDescent="0.25">
      <c r="J196" s="25"/>
    </row>
    <row r="197" spans="10:10" s="3" customFormat="1" x14ac:dyDescent="0.25">
      <c r="J197" s="25"/>
    </row>
    <row r="198" spans="10:10" s="3" customFormat="1" x14ac:dyDescent="0.25">
      <c r="J198" s="25"/>
    </row>
    <row r="199" spans="10:10" s="3" customFormat="1" x14ac:dyDescent="0.25">
      <c r="J199" s="25"/>
    </row>
    <row r="200" spans="10:10" s="3" customFormat="1" x14ac:dyDescent="0.25">
      <c r="J200" s="25"/>
    </row>
    <row r="201" spans="10:10" s="3" customFormat="1" x14ac:dyDescent="0.25">
      <c r="J201" s="25"/>
    </row>
    <row r="202" spans="10:10" s="3" customFormat="1" x14ac:dyDescent="0.25">
      <c r="J202" s="25"/>
    </row>
    <row r="203" spans="10:10" s="3" customFormat="1" x14ac:dyDescent="0.25">
      <c r="J203" s="25"/>
    </row>
    <row r="204" spans="10:10" s="3" customFormat="1" x14ac:dyDescent="0.25">
      <c r="J204" s="25"/>
    </row>
    <row r="205" spans="10:10" s="3" customFormat="1" x14ac:dyDescent="0.25">
      <c r="J205" s="25"/>
    </row>
    <row r="206" spans="10:10" s="3" customFormat="1" x14ac:dyDescent="0.25">
      <c r="J206" s="25"/>
    </row>
    <row r="207" spans="10:10" s="3" customFormat="1" x14ac:dyDescent="0.25">
      <c r="J207" s="25"/>
    </row>
    <row r="208" spans="10:10" s="3" customFormat="1" x14ac:dyDescent="0.25">
      <c r="J208" s="25"/>
    </row>
    <row r="209" spans="10:10" s="3" customFormat="1" x14ac:dyDescent="0.25">
      <c r="J209" s="25"/>
    </row>
    <row r="210" spans="10:10" s="3" customFormat="1" x14ac:dyDescent="0.25">
      <c r="J210" s="25"/>
    </row>
    <row r="211" spans="10:10" s="3" customFormat="1" x14ac:dyDescent="0.25">
      <c r="J211" s="25"/>
    </row>
    <row r="212" spans="10:10" s="3" customFormat="1" x14ac:dyDescent="0.25">
      <c r="J212" s="25"/>
    </row>
    <row r="213" spans="10:10" s="3" customFormat="1" x14ac:dyDescent="0.25">
      <c r="J213" s="25"/>
    </row>
    <row r="214" spans="10:10" s="3" customFormat="1" x14ac:dyDescent="0.25">
      <c r="J214" s="25"/>
    </row>
    <row r="215" spans="10:10" s="3" customFormat="1" x14ac:dyDescent="0.25">
      <c r="J215" s="25"/>
    </row>
    <row r="216" spans="10:10" s="3" customFormat="1" x14ac:dyDescent="0.25">
      <c r="J216" s="25"/>
    </row>
    <row r="217" spans="10:10" s="3" customFormat="1" x14ac:dyDescent="0.25">
      <c r="J217" s="25"/>
    </row>
    <row r="218" spans="10:10" s="3" customFormat="1" x14ac:dyDescent="0.25">
      <c r="J218" s="25"/>
    </row>
    <row r="219" spans="10:10" s="3" customFormat="1" x14ac:dyDescent="0.25">
      <c r="J219" s="25"/>
    </row>
    <row r="220" spans="10:10" s="3" customFormat="1" x14ac:dyDescent="0.25">
      <c r="J220" s="25"/>
    </row>
    <row r="221" spans="10:10" s="3" customFormat="1" x14ac:dyDescent="0.25">
      <c r="J221" s="25"/>
    </row>
    <row r="222" spans="10:10" s="3" customFormat="1" x14ac:dyDescent="0.25">
      <c r="J222" s="25"/>
    </row>
    <row r="223" spans="10:10" s="3" customFormat="1" x14ac:dyDescent="0.25">
      <c r="J223" s="25"/>
    </row>
    <row r="224" spans="10:10" s="3" customFormat="1" x14ac:dyDescent="0.25">
      <c r="J224" s="25"/>
    </row>
    <row r="225" spans="10:10" s="3" customFormat="1" x14ac:dyDescent="0.25">
      <c r="J225" s="25"/>
    </row>
    <row r="226" spans="10:10" s="3" customFormat="1" x14ac:dyDescent="0.25">
      <c r="J226" s="25"/>
    </row>
    <row r="227" spans="10:10" s="3" customFormat="1" x14ac:dyDescent="0.25">
      <c r="J227" s="25"/>
    </row>
    <row r="228" spans="10:10" s="3" customFormat="1" x14ac:dyDescent="0.25">
      <c r="J228" s="25"/>
    </row>
    <row r="229" spans="10:10" s="3" customFormat="1" x14ac:dyDescent="0.25">
      <c r="J229" s="25"/>
    </row>
    <row r="230" spans="10:10" s="3" customFormat="1" x14ac:dyDescent="0.25">
      <c r="J230" s="25"/>
    </row>
    <row r="231" spans="10:10" s="3" customFormat="1" x14ac:dyDescent="0.25">
      <c r="J231" s="25"/>
    </row>
    <row r="232" spans="10:10" s="3" customFormat="1" x14ac:dyDescent="0.25">
      <c r="J232" s="25"/>
    </row>
    <row r="233" spans="10:10" s="3" customFormat="1" x14ac:dyDescent="0.25">
      <c r="J233" s="25"/>
    </row>
    <row r="234" spans="10:10" s="3" customFormat="1" x14ac:dyDescent="0.25">
      <c r="J234" s="25"/>
    </row>
    <row r="235" spans="10:10" s="3" customFormat="1" x14ac:dyDescent="0.25">
      <c r="J235" s="25"/>
    </row>
    <row r="236" spans="10:10" s="3" customFormat="1" x14ac:dyDescent="0.25">
      <c r="J236" s="25"/>
    </row>
    <row r="237" spans="10:10" s="3" customFormat="1" x14ac:dyDescent="0.25">
      <c r="J237" s="25"/>
    </row>
    <row r="238" spans="10:10" s="3" customFormat="1" x14ac:dyDescent="0.25">
      <c r="J238" s="25"/>
    </row>
    <row r="239" spans="10:10" s="3" customFormat="1" x14ac:dyDescent="0.25">
      <c r="J239" s="25"/>
    </row>
    <row r="240" spans="10:10" s="3" customFormat="1" x14ac:dyDescent="0.25">
      <c r="J240" s="25"/>
    </row>
    <row r="241" spans="10:10" s="3" customFormat="1" x14ac:dyDescent="0.25">
      <c r="J241" s="25"/>
    </row>
    <row r="242" spans="10:10" s="3" customFormat="1" x14ac:dyDescent="0.25">
      <c r="J242" s="25"/>
    </row>
    <row r="243" spans="10:10" s="3" customFormat="1" x14ac:dyDescent="0.25">
      <c r="J243" s="25"/>
    </row>
    <row r="244" spans="10:10" s="3" customFormat="1" x14ac:dyDescent="0.25">
      <c r="J244" s="25"/>
    </row>
    <row r="245" spans="10:10" s="3" customFormat="1" x14ac:dyDescent="0.25">
      <c r="J245" s="25"/>
    </row>
    <row r="246" spans="10:10" s="3" customFormat="1" x14ac:dyDescent="0.25">
      <c r="J246" s="25"/>
    </row>
    <row r="247" spans="10:10" s="3" customFormat="1" x14ac:dyDescent="0.25">
      <c r="J247" s="25"/>
    </row>
    <row r="248" spans="10:10" s="3" customFormat="1" x14ac:dyDescent="0.25">
      <c r="J248" s="25"/>
    </row>
    <row r="249" spans="10:10" s="3" customFormat="1" x14ac:dyDescent="0.25">
      <c r="J249" s="25"/>
    </row>
    <row r="250" spans="10:10" s="3" customFormat="1" x14ac:dyDescent="0.25">
      <c r="J250" s="25"/>
    </row>
    <row r="251" spans="10:10" s="3" customFormat="1" x14ac:dyDescent="0.25">
      <c r="J251" s="25"/>
    </row>
    <row r="252" spans="10:10" s="3" customFormat="1" x14ac:dyDescent="0.25">
      <c r="J252" s="25"/>
    </row>
    <row r="253" spans="10:10" s="3" customFormat="1" x14ac:dyDescent="0.25">
      <c r="J253" s="25"/>
    </row>
    <row r="254" spans="10:10" s="3" customFormat="1" x14ac:dyDescent="0.25">
      <c r="J254" s="25"/>
    </row>
    <row r="255" spans="10:10" s="3" customFormat="1" x14ac:dyDescent="0.25">
      <c r="J255" s="25"/>
    </row>
    <row r="256" spans="10:10" s="3" customFormat="1" x14ac:dyDescent="0.25">
      <c r="J256" s="25"/>
    </row>
    <row r="257" spans="10:10" s="3" customFormat="1" x14ac:dyDescent="0.25">
      <c r="J257" s="25"/>
    </row>
    <row r="258" spans="10:10" s="3" customFormat="1" x14ac:dyDescent="0.25">
      <c r="J258" s="25"/>
    </row>
    <row r="259" spans="10:10" s="3" customFormat="1" x14ac:dyDescent="0.25">
      <c r="J259" s="25"/>
    </row>
    <row r="260" spans="10:10" s="3" customFormat="1" x14ac:dyDescent="0.25">
      <c r="J260" s="25"/>
    </row>
    <row r="261" spans="10:10" s="3" customFormat="1" x14ac:dyDescent="0.25">
      <c r="J261" s="25"/>
    </row>
    <row r="262" spans="10:10" s="3" customFormat="1" x14ac:dyDescent="0.25">
      <c r="J262" s="25"/>
    </row>
    <row r="263" spans="10:10" s="3" customFormat="1" x14ac:dyDescent="0.25">
      <c r="J263" s="25"/>
    </row>
    <row r="264" spans="10:10" s="3" customFormat="1" x14ac:dyDescent="0.25">
      <c r="J264" s="25"/>
    </row>
    <row r="265" spans="10:10" s="3" customFormat="1" x14ac:dyDescent="0.25">
      <c r="J265" s="25"/>
    </row>
    <row r="266" spans="10:10" s="3" customFormat="1" x14ac:dyDescent="0.25">
      <c r="J266" s="25"/>
    </row>
    <row r="267" spans="10:10" s="3" customFormat="1" x14ac:dyDescent="0.25">
      <c r="J267" s="25"/>
    </row>
    <row r="268" spans="10:10" s="3" customFormat="1" x14ac:dyDescent="0.25">
      <c r="J268" s="25"/>
    </row>
    <row r="269" spans="10:10" s="3" customFormat="1" x14ac:dyDescent="0.25">
      <c r="J269" s="25"/>
    </row>
    <row r="270" spans="10:10" s="3" customFormat="1" x14ac:dyDescent="0.25">
      <c r="J270" s="25"/>
    </row>
    <row r="271" spans="10:10" s="3" customFormat="1" x14ac:dyDescent="0.25">
      <c r="J271" s="25"/>
    </row>
    <row r="272" spans="10:10" s="3" customFormat="1" x14ac:dyDescent="0.25">
      <c r="J272" s="25"/>
    </row>
    <row r="273" spans="10:10" s="3" customFormat="1" x14ac:dyDescent="0.25">
      <c r="J273" s="25"/>
    </row>
    <row r="274" spans="10:10" s="3" customFormat="1" x14ac:dyDescent="0.25">
      <c r="J274" s="25"/>
    </row>
    <row r="275" spans="10:10" s="3" customFormat="1" x14ac:dyDescent="0.25">
      <c r="J275" s="25"/>
    </row>
    <row r="276" spans="10:10" s="3" customFormat="1" x14ac:dyDescent="0.25">
      <c r="J276" s="25"/>
    </row>
    <row r="277" spans="10:10" s="3" customFormat="1" x14ac:dyDescent="0.25">
      <c r="J277" s="25"/>
    </row>
    <row r="278" spans="10:10" s="3" customFormat="1" x14ac:dyDescent="0.25">
      <c r="J278" s="25"/>
    </row>
    <row r="279" spans="10:10" s="3" customFormat="1" x14ac:dyDescent="0.25">
      <c r="J279" s="25"/>
    </row>
    <row r="280" spans="10:10" s="3" customFormat="1" x14ac:dyDescent="0.25">
      <c r="J280" s="25"/>
    </row>
    <row r="281" spans="10:10" s="3" customFormat="1" x14ac:dyDescent="0.25">
      <c r="J281" s="25"/>
    </row>
    <row r="282" spans="10:10" s="3" customFormat="1" x14ac:dyDescent="0.25">
      <c r="J282" s="25"/>
    </row>
    <row r="283" spans="10:10" s="3" customFormat="1" x14ac:dyDescent="0.25">
      <c r="J283" s="25"/>
    </row>
    <row r="284" spans="10:10" s="3" customFormat="1" x14ac:dyDescent="0.25">
      <c r="J284" s="25"/>
    </row>
    <row r="285" spans="10:10" s="3" customFormat="1" x14ac:dyDescent="0.25">
      <c r="J285" s="25"/>
    </row>
    <row r="286" spans="10:10" s="3" customFormat="1" x14ac:dyDescent="0.25">
      <c r="J286" s="25"/>
    </row>
    <row r="287" spans="10:10" s="3" customFormat="1" x14ac:dyDescent="0.25">
      <c r="J287" s="25"/>
    </row>
    <row r="288" spans="10:10" s="3" customFormat="1" x14ac:dyDescent="0.25">
      <c r="J288" s="25"/>
    </row>
    <row r="289" spans="10:10" s="3" customFormat="1" x14ac:dyDescent="0.25">
      <c r="J289" s="25"/>
    </row>
    <row r="290" spans="10:10" s="3" customFormat="1" x14ac:dyDescent="0.25">
      <c r="J290" s="25"/>
    </row>
    <row r="291" spans="10:10" s="3" customFormat="1" x14ac:dyDescent="0.25">
      <c r="J291" s="25"/>
    </row>
    <row r="292" spans="10:10" s="3" customFormat="1" x14ac:dyDescent="0.25">
      <c r="J292" s="25"/>
    </row>
    <row r="293" spans="10:10" s="3" customFormat="1" x14ac:dyDescent="0.25">
      <c r="J293" s="25"/>
    </row>
    <row r="294" spans="10:10" s="3" customFormat="1" x14ac:dyDescent="0.25">
      <c r="J294" s="25"/>
    </row>
    <row r="295" spans="10:10" s="3" customFormat="1" x14ac:dyDescent="0.25">
      <c r="J295" s="25"/>
    </row>
    <row r="296" spans="10:10" s="3" customFormat="1" x14ac:dyDescent="0.25">
      <c r="J296" s="25"/>
    </row>
    <row r="297" spans="10:10" s="3" customFormat="1" x14ac:dyDescent="0.25">
      <c r="J297" s="25"/>
    </row>
    <row r="298" spans="10:10" s="3" customFormat="1" x14ac:dyDescent="0.25">
      <c r="J298" s="25"/>
    </row>
    <row r="299" spans="10:10" s="3" customFormat="1" x14ac:dyDescent="0.25">
      <c r="J299" s="25"/>
    </row>
    <row r="300" spans="10:10" s="3" customFormat="1" x14ac:dyDescent="0.25">
      <c r="J300" s="25"/>
    </row>
    <row r="301" spans="10:10" s="3" customFormat="1" x14ac:dyDescent="0.25">
      <c r="J301" s="25"/>
    </row>
    <row r="302" spans="10:10" s="3" customFormat="1" x14ac:dyDescent="0.25">
      <c r="J302" s="25"/>
    </row>
    <row r="303" spans="10:10" s="3" customFormat="1" x14ac:dyDescent="0.25">
      <c r="J303" s="25"/>
    </row>
    <row r="304" spans="10:10" s="3" customFormat="1" x14ac:dyDescent="0.25">
      <c r="J304" s="25"/>
    </row>
    <row r="305" spans="10:10" s="3" customFormat="1" x14ac:dyDescent="0.25">
      <c r="J305" s="25"/>
    </row>
    <row r="306" spans="10:10" s="3" customFormat="1" x14ac:dyDescent="0.25">
      <c r="J306" s="25"/>
    </row>
    <row r="307" spans="10:10" s="3" customFormat="1" x14ac:dyDescent="0.25">
      <c r="J307" s="25"/>
    </row>
    <row r="308" spans="10:10" s="3" customFormat="1" x14ac:dyDescent="0.25">
      <c r="J308" s="25"/>
    </row>
    <row r="309" spans="10:10" s="3" customFormat="1" x14ac:dyDescent="0.25">
      <c r="J309" s="25"/>
    </row>
    <row r="310" spans="10:10" s="3" customFormat="1" x14ac:dyDescent="0.25">
      <c r="J310" s="25"/>
    </row>
    <row r="311" spans="10:10" s="3" customFormat="1" x14ac:dyDescent="0.25">
      <c r="J311" s="25"/>
    </row>
    <row r="312" spans="10:10" s="3" customFormat="1" x14ac:dyDescent="0.25">
      <c r="J312" s="25"/>
    </row>
    <row r="313" spans="10:10" s="3" customFormat="1" x14ac:dyDescent="0.25">
      <c r="J313" s="25"/>
    </row>
    <row r="314" spans="10:10" s="3" customFormat="1" x14ac:dyDescent="0.25">
      <c r="J314" s="25"/>
    </row>
    <row r="315" spans="10:10" s="3" customFormat="1" x14ac:dyDescent="0.25">
      <c r="J315" s="25"/>
    </row>
    <row r="316" spans="10:10" s="3" customFormat="1" x14ac:dyDescent="0.25">
      <c r="J316" s="25"/>
    </row>
    <row r="317" spans="10:10" s="3" customFormat="1" x14ac:dyDescent="0.25">
      <c r="J317" s="25"/>
    </row>
    <row r="318" spans="10:10" s="3" customFormat="1" x14ac:dyDescent="0.25">
      <c r="J318" s="25"/>
    </row>
    <row r="319" spans="10:10" s="3" customFormat="1" x14ac:dyDescent="0.25">
      <c r="J319" s="25"/>
    </row>
    <row r="320" spans="10:10" s="3" customFormat="1" x14ac:dyDescent="0.25">
      <c r="J320" s="25"/>
    </row>
    <row r="321" spans="10:10" s="3" customFormat="1" x14ac:dyDescent="0.25">
      <c r="J321" s="25"/>
    </row>
    <row r="322" spans="10:10" s="3" customFormat="1" x14ac:dyDescent="0.25">
      <c r="J322" s="25"/>
    </row>
    <row r="323" spans="10:10" s="3" customFormat="1" x14ac:dyDescent="0.25">
      <c r="J323" s="25"/>
    </row>
    <row r="324" spans="10:10" s="3" customFormat="1" x14ac:dyDescent="0.25">
      <c r="J324" s="25"/>
    </row>
    <row r="325" spans="10:10" s="3" customFormat="1" x14ac:dyDescent="0.25">
      <c r="J325" s="25"/>
    </row>
    <row r="326" spans="10:10" s="3" customFormat="1" x14ac:dyDescent="0.25">
      <c r="J326" s="25"/>
    </row>
    <row r="327" spans="10:10" s="3" customFormat="1" x14ac:dyDescent="0.25">
      <c r="J327" s="25"/>
    </row>
    <row r="328" spans="10:10" s="3" customFormat="1" x14ac:dyDescent="0.25">
      <c r="J328" s="25"/>
    </row>
    <row r="329" spans="10:10" s="3" customFormat="1" x14ac:dyDescent="0.25">
      <c r="J329" s="25"/>
    </row>
    <row r="330" spans="10:10" s="3" customFormat="1" x14ac:dyDescent="0.25">
      <c r="J330" s="25"/>
    </row>
  </sheetData>
  <sheetProtection algorithmName="SHA-512" hashValue="g0pQDbH5PMoRvMkn5Td+uOD3b31tKSCY0k4J4o8Bm4zcNjzp4IA/U22z83ievq54sfEb+gp4Xd4DS0YIrIr5KQ==" saltValue="wrFBusmQrKbAvBSPoCz+rQ==" spinCount="100000" sheet="1" objects="1" scenarios="1"/>
  <mergeCells count="30">
    <mergeCell ref="A17:G17"/>
    <mergeCell ref="A1:H3"/>
    <mergeCell ref="A5:B6"/>
    <mergeCell ref="C5:C6"/>
    <mergeCell ref="D5:D6"/>
    <mergeCell ref="A8:E8"/>
    <mergeCell ref="A10:H10"/>
    <mergeCell ref="A11:G11"/>
    <mergeCell ref="A12:G12"/>
    <mergeCell ref="A14:H14"/>
    <mergeCell ref="A15:G15"/>
    <mergeCell ref="A16:G16"/>
    <mergeCell ref="A31:G31"/>
    <mergeCell ref="A18:G18"/>
    <mergeCell ref="A19:G19"/>
    <mergeCell ref="A21:H21"/>
    <mergeCell ref="A22:G22"/>
    <mergeCell ref="A23:G23"/>
    <mergeCell ref="A24:G24"/>
    <mergeCell ref="A25:G25"/>
    <mergeCell ref="A26:G26"/>
    <mergeCell ref="A28:H28"/>
    <mergeCell ref="A29:G29"/>
    <mergeCell ref="A30:G30"/>
    <mergeCell ref="A32:G32"/>
    <mergeCell ref="A33:G33"/>
    <mergeCell ref="A34:G34"/>
    <mergeCell ref="A35:G35"/>
    <mergeCell ref="B36:C36"/>
    <mergeCell ref="D36:H36"/>
  </mergeCells>
  <conditionalFormatting sqref="A36">
    <cfRule type="cellIs" dxfId="11" priority="5" operator="lessThan">
      <formula>91</formula>
    </cfRule>
    <cfRule type="cellIs" dxfId="10" priority="7" operator="between">
      <formula>91</formula>
      <formula>130</formula>
    </cfRule>
    <cfRule type="cellIs" dxfId="9" priority="11" operator="greaterThan">
      <formula>130</formula>
    </cfRule>
  </conditionalFormatting>
  <conditionalFormatting sqref="B36:C36">
    <cfRule type="containsText" dxfId="8" priority="4" operator="containsText" text="დაბალი">
      <formula>NOT(ISERROR(SEARCH("დაბალი",B36)))</formula>
    </cfRule>
    <cfRule type="containsText" dxfId="7" priority="8" operator="containsText" text="საშუალო">
      <formula>NOT(ISERROR(SEARCH("საშუალო",B36)))</formula>
    </cfRule>
    <cfRule type="containsText" dxfId="6" priority="10" operator="containsText" text="მაღალი">
      <formula>NOT(ISERROR(SEARCH("მაღალი",B36)))</formula>
    </cfRule>
  </conditionalFormatting>
  <conditionalFormatting sqref="D36:H36">
    <cfRule type="containsText" dxfId="5" priority="1" operator="containsText" text="0.1%">
      <formula>NOT(ISERROR(SEARCH("0.1%",D36)))</formula>
    </cfRule>
    <cfRule type="containsText" dxfId="4" priority="2" operator="containsText" text="0.6-0.9%">
      <formula>NOT(ISERROR(SEARCH("0.6-0.9%",D36)))</formula>
    </cfRule>
    <cfRule type="containsText" dxfId="3" priority="3" operator="containsText" text="0.9-2.8%">
      <formula>NOT(ISERROR(SEARCH("0.9-2.8%",D36)))</formula>
    </cfRule>
    <cfRule type="containsText" dxfId="2" priority="6" operator="containsText" text="8.2-9.3%">
      <formula>NOT(ISERROR(SEARCH("8.2-9.3%",D36)))</formula>
    </cfRule>
    <cfRule type="containsText" dxfId="1" priority="9" operator="containsText" text="27.0-29.2%">
      <formula>NOT(ISERROR(SEARCH("27.0-29.2%",D36)))</formula>
    </cfRule>
  </conditionalFormatting>
  <hyperlinks>
    <hyperlink ref="J36" location="Sheet1!A1" display="უკან" xr:uid="{AF5FC6F2-3D2A-4C9C-B2AA-2C80D946C77B}"/>
  </hyperlinks>
  <pageMargins left="0.7" right="0.7" top="0.75" bottom="0.75" header="0.3" footer="0.3"/>
  <pageSetup orientation="portrait" horizontalDpi="4294967292"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69" r:id="rId4" name="Check Box 21">
              <controlPr defaultSize="0" autoFill="0" autoLine="0" autoPict="0">
                <anchor moveWithCells="1">
                  <from>
                    <xdr:col>6</xdr:col>
                    <xdr:colOff>419100</xdr:colOff>
                    <xdr:row>10</xdr:row>
                    <xdr:rowOff>0</xdr:rowOff>
                  </from>
                  <to>
                    <xdr:col>7</xdr:col>
                    <xdr:colOff>390525</xdr:colOff>
                    <xdr:row>11</xdr:row>
                    <xdr:rowOff>9525</xdr:rowOff>
                  </to>
                </anchor>
              </controlPr>
            </control>
          </mc:Choice>
        </mc:AlternateContent>
        <mc:AlternateContent xmlns:mc="http://schemas.openxmlformats.org/markup-compatibility/2006">
          <mc:Choice Requires="x14">
            <control shapeId="2070" r:id="rId5" name="Check Box 22">
              <controlPr defaultSize="0" autoFill="0" autoLine="0" autoPict="0">
                <anchor moveWithCells="1">
                  <from>
                    <xdr:col>6</xdr:col>
                    <xdr:colOff>419100</xdr:colOff>
                    <xdr:row>10</xdr:row>
                    <xdr:rowOff>371475</xdr:rowOff>
                  </from>
                  <to>
                    <xdr:col>7</xdr:col>
                    <xdr:colOff>466725</xdr:colOff>
                    <xdr:row>11</xdr:row>
                    <xdr:rowOff>371475</xdr:rowOff>
                  </to>
                </anchor>
              </controlPr>
            </control>
          </mc:Choice>
        </mc:AlternateContent>
        <mc:AlternateContent xmlns:mc="http://schemas.openxmlformats.org/markup-compatibility/2006">
          <mc:Choice Requires="x14">
            <control shapeId="2071" r:id="rId6" name="Check Box 23">
              <controlPr defaultSize="0" autoFill="0" autoLine="0" autoPict="0">
                <anchor moveWithCells="1">
                  <from>
                    <xdr:col>6</xdr:col>
                    <xdr:colOff>428625</xdr:colOff>
                    <xdr:row>13</xdr:row>
                    <xdr:rowOff>361950</xdr:rowOff>
                  </from>
                  <to>
                    <xdr:col>7</xdr:col>
                    <xdr:colOff>466725</xdr:colOff>
                    <xdr:row>14</xdr:row>
                    <xdr:rowOff>381000</xdr:rowOff>
                  </to>
                </anchor>
              </controlPr>
            </control>
          </mc:Choice>
        </mc:AlternateContent>
        <mc:AlternateContent xmlns:mc="http://schemas.openxmlformats.org/markup-compatibility/2006">
          <mc:Choice Requires="x14">
            <control shapeId="2072" r:id="rId7" name="Check Box 24">
              <controlPr defaultSize="0" autoFill="0" autoLine="0" autoPict="0">
                <anchor moveWithCells="1">
                  <from>
                    <xdr:col>6</xdr:col>
                    <xdr:colOff>438150</xdr:colOff>
                    <xdr:row>18</xdr:row>
                    <xdr:rowOff>19050</xdr:rowOff>
                  </from>
                  <to>
                    <xdr:col>7</xdr:col>
                    <xdr:colOff>485775</xdr:colOff>
                    <xdr:row>18</xdr:row>
                    <xdr:rowOff>371475</xdr:rowOff>
                  </to>
                </anchor>
              </controlPr>
            </control>
          </mc:Choice>
        </mc:AlternateContent>
        <mc:AlternateContent xmlns:mc="http://schemas.openxmlformats.org/markup-compatibility/2006">
          <mc:Choice Requires="x14">
            <control shapeId="2073" r:id="rId8" name="Check Box 25">
              <controlPr defaultSize="0" autoFill="0" autoLine="0" autoPict="0">
                <anchor moveWithCells="1">
                  <from>
                    <xdr:col>6</xdr:col>
                    <xdr:colOff>466725</xdr:colOff>
                    <xdr:row>21</xdr:row>
                    <xdr:rowOff>19050</xdr:rowOff>
                  </from>
                  <to>
                    <xdr:col>7</xdr:col>
                    <xdr:colOff>504825</xdr:colOff>
                    <xdr:row>21</xdr:row>
                    <xdr:rowOff>381000</xdr:rowOff>
                  </to>
                </anchor>
              </controlPr>
            </control>
          </mc:Choice>
        </mc:AlternateContent>
        <mc:AlternateContent xmlns:mc="http://schemas.openxmlformats.org/markup-compatibility/2006">
          <mc:Choice Requires="x14">
            <control shapeId="2074" r:id="rId9" name="Check Box 26">
              <controlPr defaultSize="0" autoFill="0" autoLine="0" autoPict="0">
                <anchor moveWithCells="1">
                  <from>
                    <xdr:col>6</xdr:col>
                    <xdr:colOff>476250</xdr:colOff>
                    <xdr:row>25</xdr:row>
                    <xdr:rowOff>9525</xdr:rowOff>
                  </from>
                  <to>
                    <xdr:col>7</xdr:col>
                    <xdr:colOff>504825</xdr:colOff>
                    <xdr:row>25</xdr:row>
                    <xdr:rowOff>381000</xdr:rowOff>
                  </to>
                </anchor>
              </controlPr>
            </control>
          </mc:Choice>
        </mc:AlternateContent>
        <mc:AlternateContent xmlns:mc="http://schemas.openxmlformats.org/markup-compatibility/2006">
          <mc:Choice Requires="x14">
            <control shapeId="2075" r:id="rId10" name="Check Box 27">
              <controlPr defaultSize="0" autoFill="0" autoLine="0" autoPict="0">
                <anchor moveWithCells="1">
                  <from>
                    <xdr:col>4</xdr:col>
                    <xdr:colOff>409575</xdr:colOff>
                    <xdr:row>6</xdr:row>
                    <xdr:rowOff>219075</xdr:rowOff>
                  </from>
                  <to>
                    <xdr:col>5</xdr:col>
                    <xdr:colOff>542925</xdr:colOff>
                    <xdr:row>8</xdr:row>
                    <xdr:rowOff>38100</xdr:rowOff>
                  </to>
                </anchor>
              </controlPr>
            </control>
          </mc:Choice>
        </mc:AlternateContent>
        <mc:AlternateContent xmlns:mc="http://schemas.openxmlformats.org/markup-compatibility/2006">
          <mc:Choice Requires="x14">
            <control shapeId="2076" r:id="rId11" name="Check Box 28">
              <controlPr defaultSize="0" autoFill="0" autoLine="0" autoPict="0">
                <anchor moveWithCells="1">
                  <from>
                    <xdr:col>6</xdr:col>
                    <xdr:colOff>428625</xdr:colOff>
                    <xdr:row>15</xdr:row>
                    <xdr:rowOff>9525</xdr:rowOff>
                  </from>
                  <to>
                    <xdr:col>7</xdr:col>
                    <xdr:colOff>495300</xdr:colOff>
                    <xdr:row>15</xdr:row>
                    <xdr:rowOff>381000</xdr:rowOff>
                  </to>
                </anchor>
              </controlPr>
            </control>
          </mc:Choice>
        </mc:AlternateContent>
        <mc:AlternateContent xmlns:mc="http://schemas.openxmlformats.org/markup-compatibility/2006">
          <mc:Choice Requires="x14">
            <control shapeId="2077" r:id="rId12" name="Check Box 29">
              <controlPr defaultSize="0" autoFill="0" autoLine="0" autoPict="0">
                <anchor moveWithCells="1">
                  <from>
                    <xdr:col>6</xdr:col>
                    <xdr:colOff>428625</xdr:colOff>
                    <xdr:row>15</xdr:row>
                    <xdr:rowOff>381000</xdr:rowOff>
                  </from>
                  <to>
                    <xdr:col>7</xdr:col>
                    <xdr:colOff>485775</xdr:colOff>
                    <xdr:row>16</xdr:row>
                    <xdr:rowOff>381000</xdr:rowOff>
                  </to>
                </anchor>
              </controlPr>
            </control>
          </mc:Choice>
        </mc:AlternateContent>
        <mc:AlternateContent xmlns:mc="http://schemas.openxmlformats.org/markup-compatibility/2006">
          <mc:Choice Requires="x14">
            <control shapeId="2078" r:id="rId13" name="Check Box 30">
              <controlPr defaultSize="0" autoFill="0" autoLine="0" autoPict="0">
                <anchor moveWithCells="1">
                  <from>
                    <xdr:col>6</xdr:col>
                    <xdr:colOff>438150</xdr:colOff>
                    <xdr:row>17</xdr:row>
                    <xdr:rowOff>9525</xdr:rowOff>
                  </from>
                  <to>
                    <xdr:col>7</xdr:col>
                    <xdr:colOff>485775</xdr:colOff>
                    <xdr:row>17</xdr:row>
                    <xdr:rowOff>381000</xdr:rowOff>
                  </to>
                </anchor>
              </controlPr>
            </control>
          </mc:Choice>
        </mc:AlternateContent>
        <mc:AlternateContent xmlns:mc="http://schemas.openxmlformats.org/markup-compatibility/2006">
          <mc:Choice Requires="x14">
            <control shapeId="2079" r:id="rId14" name="Check Box 31">
              <controlPr defaultSize="0" autoFill="0" autoLine="0" autoPict="0">
                <anchor moveWithCells="1">
                  <from>
                    <xdr:col>6</xdr:col>
                    <xdr:colOff>476250</xdr:colOff>
                    <xdr:row>22</xdr:row>
                    <xdr:rowOff>0</xdr:rowOff>
                  </from>
                  <to>
                    <xdr:col>7</xdr:col>
                    <xdr:colOff>504825</xdr:colOff>
                    <xdr:row>22</xdr:row>
                    <xdr:rowOff>381000</xdr:rowOff>
                  </to>
                </anchor>
              </controlPr>
            </control>
          </mc:Choice>
        </mc:AlternateContent>
        <mc:AlternateContent xmlns:mc="http://schemas.openxmlformats.org/markup-compatibility/2006">
          <mc:Choice Requires="x14">
            <control shapeId="2080" r:id="rId15" name="Check Box 32">
              <controlPr defaultSize="0" autoFill="0" autoLine="0" autoPict="0">
                <anchor moveWithCells="1">
                  <from>
                    <xdr:col>6</xdr:col>
                    <xdr:colOff>476250</xdr:colOff>
                    <xdr:row>23</xdr:row>
                    <xdr:rowOff>9525</xdr:rowOff>
                  </from>
                  <to>
                    <xdr:col>7</xdr:col>
                    <xdr:colOff>504825</xdr:colOff>
                    <xdr:row>23</xdr:row>
                    <xdr:rowOff>371475</xdr:rowOff>
                  </to>
                </anchor>
              </controlPr>
            </control>
          </mc:Choice>
        </mc:AlternateContent>
        <mc:AlternateContent xmlns:mc="http://schemas.openxmlformats.org/markup-compatibility/2006">
          <mc:Choice Requires="x14">
            <control shapeId="2081" r:id="rId16" name="Check Box 33">
              <controlPr defaultSize="0" autoFill="0" autoLine="0" autoPict="0">
                <anchor moveWithCells="1">
                  <from>
                    <xdr:col>6</xdr:col>
                    <xdr:colOff>476250</xdr:colOff>
                    <xdr:row>24</xdr:row>
                    <xdr:rowOff>19050</xdr:rowOff>
                  </from>
                  <to>
                    <xdr:col>7</xdr:col>
                    <xdr:colOff>504825</xdr:colOff>
                    <xdr:row>25</xdr:row>
                    <xdr:rowOff>0</xdr:rowOff>
                  </to>
                </anchor>
              </controlPr>
            </control>
          </mc:Choice>
        </mc:AlternateContent>
        <mc:AlternateContent xmlns:mc="http://schemas.openxmlformats.org/markup-compatibility/2006">
          <mc:Choice Requires="x14">
            <control shapeId="2082" r:id="rId17" name="Check Box 34">
              <controlPr defaultSize="0" autoFill="0" autoLine="0" autoPict="0">
                <anchor moveWithCells="1">
                  <from>
                    <xdr:col>6</xdr:col>
                    <xdr:colOff>466725</xdr:colOff>
                    <xdr:row>28</xdr:row>
                    <xdr:rowOff>19050</xdr:rowOff>
                  </from>
                  <to>
                    <xdr:col>7</xdr:col>
                    <xdr:colOff>495300</xdr:colOff>
                    <xdr:row>28</xdr:row>
                    <xdr:rowOff>352425</xdr:rowOff>
                  </to>
                </anchor>
              </controlPr>
            </control>
          </mc:Choice>
        </mc:AlternateContent>
        <mc:AlternateContent xmlns:mc="http://schemas.openxmlformats.org/markup-compatibility/2006">
          <mc:Choice Requires="x14">
            <control shapeId="2083" r:id="rId18" name="Check Box 35">
              <controlPr defaultSize="0" autoFill="0" autoLine="0" autoPict="0">
                <anchor moveWithCells="1">
                  <from>
                    <xdr:col>6</xdr:col>
                    <xdr:colOff>476250</xdr:colOff>
                    <xdr:row>34</xdr:row>
                    <xdr:rowOff>9525</xdr:rowOff>
                  </from>
                  <to>
                    <xdr:col>7</xdr:col>
                    <xdr:colOff>485775</xdr:colOff>
                    <xdr:row>34</xdr:row>
                    <xdr:rowOff>381000</xdr:rowOff>
                  </to>
                </anchor>
              </controlPr>
            </control>
          </mc:Choice>
        </mc:AlternateContent>
        <mc:AlternateContent xmlns:mc="http://schemas.openxmlformats.org/markup-compatibility/2006">
          <mc:Choice Requires="x14">
            <control shapeId="2084" r:id="rId19" name="Check Box 36">
              <controlPr defaultSize="0" autoFill="0" autoLine="0" autoPict="0">
                <anchor moveWithCells="1">
                  <from>
                    <xdr:col>6</xdr:col>
                    <xdr:colOff>476250</xdr:colOff>
                    <xdr:row>29</xdr:row>
                    <xdr:rowOff>9525</xdr:rowOff>
                  </from>
                  <to>
                    <xdr:col>7</xdr:col>
                    <xdr:colOff>495300</xdr:colOff>
                    <xdr:row>29</xdr:row>
                    <xdr:rowOff>333375</xdr:rowOff>
                  </to>
                </anchor>
              </controlPr>
            </control>
          </mc:Choice>
        </mc:AlternateContent>
        <mc:AlternateContent xmlns:mc="http://schemas.openxmlformats.org/markup-compatibility/2006">
          <mc:Choice Requires="x14">
            <control shapeId="2085" r:id="rId20" name="Check Box 37">
              <controlPr defaultSize="0" autoFill="0" autoLine="0" autoPict="0">
                <anchor moveWithCells="1">
                  <from>
                    <xdr:col>6</xdr:col>
                    <xdr:colOff>476250</xdr:colOff>
                    <xdr:row>30</xdr:row>
                    <xdr:rowOff>28575</xdr:rowOff>
                  </from>
                  <to>
                    <xdr:col>7</xdr:col>
                    <xdr:colOff>504825</xdr:colOff>
                    <xdr:row>30</xdr:row>
                    <xdr:rowOff>409575</xdr:rowOff>
                  </to>
                </anchor>
              </controlPr>
            </control>
          </mc:Choice>
        </mc:AlternateContent>
        <mc:AlternateContent xmlns:mc="http://schemas.openxmlformats.org/markup-compatibility/2006">
          <mc:Choice Requires="x14">
            <control shapeId="2086" r:id="rId21" name="Check Box 38">
              <controlPr defaultSize="0" autoFill="0" autoLine="0" autoPict="0">
                <anchor moveWithCells="1">
                  <from>
                    <xdr:col>6</xdr:col>
                    <xdr:colOff>476250</xdr:colOff>
                    <xdr:row>31</xdr:row>
                    <xdr:rowOff>9525</xdr:rowOff>
                  </from>
                  <to>
                    <xdr:col>7</xdr:col>
                    <xdr:colOff>504825</xdr:colOff>
                    <xdr:row>31</xdr:row>
                    <xdr:rowOff>390525</xdr:rowOff>
                  </to>
                </anchor>
              </controlPr>
            </control>
          </mc:Choice>
        </mc:AlternateContent>
        <mc:AlternateContent xmlns:mc="http://schemas.openxmlformats.org/markup-compatibility/2006">
          <mc:Choice Requires="x14">
            <control shapeId="2087" r:id="rId22" name="Check Box 39">
              <controlPr defaultSize="0" autoFill="0" autoLine="0" autoPict="0">
                <anchor moveWithCells="1">
                  <from>
                    <xdr:col>6</xdr:col>
                    <xdr:colOff>476250</xdr:colOff>
                    <xdr:row>32</xdr:row>
                    <xdr:rowOff>0</xdr:rowOff>
                  </from>
                  <to>
                    <xdr:col>7</xdr:col>
                    <xdr:colOff>495300</xdr:colOff>
                    <xdr:row>32</xdr:row>
                    <xdr:rowOff>419100</xdr:rowOff>
                  </to>
                </anchor>
              </controlPr>
            </control>
          </mc:Choice>
        </mc:AlternateContent>
        <mc:AlternateContent xmlns:mc="http://schemas.openxmlformats.org/markup-compatibility/2006">
          <mc:Choice Requires="x14">
            <control shapeId="2088" r:id="rId23" name="Check Box 40">
              <controlPr defaultSize="0" autoFill="0" autoLine="0" autoPict="0">
                <anchor moveWithCells="1">
                  <from>
                    <xdr:col>6</xdr:col>
                    <xdr:colOff>466725</xdr:colOff>
                    <xdr:row>33</xdr:row>
                    <xdr:rowOff>19050</xdr:rowOff>
                  </from>
                  <to>
                    <xdr:col>7</xdr:col>
                    <xdr:colOff>495300</xdr:colOff>
                    <xdr:row>34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A43BB-8AD7-4CD2-B916-DBBD7585FD9D}">
  <dimension ref="A1:AJ250"/>
  <sheetViews>
    <sheetView workbookViewId="0">
      <selection activeCell="N14" sqref="N14"/>
    </sheetView>
  </sheetViews>
  <sheetFormatPr defaultRowHeight="15" x14ac:dyDescent="0.25"/>
  <cols>
    <col min="1" max="7" width="9" style="65"/>
    <col min="8" max="36" width="9" style="3"/>
    <col min="37" max="16384" width="9" style="65"/>
  </cols>
  <sheetData>
    <row r="1" spans="1:9" x14ac:dyDescent="0.25">
      <c r="A1" s="133" t="s">
        <v>295</v>
      </c>
      <c r="B1" s="134"/>
      <c r="C1" s="134"/>
      <c r="D1" s="134"/>
      <c r="E1" s="134"/>
      <c r="F1" s="134"/>
      <c r="G1" s="134"/>
    </row>
    <row r="2" spans="1:9" x14ac:dyDescent="0.25">
      <c r="A2" s="134"/>
      <c r="B2" s="134"/>
      <c r="C2" s="134"/>
      <c r="D2" s="134"/>
      <c r="E2" s="134"/>
      <c r="F2" s="134"/>
      <c r="G2" s="134"/>
    </row>
    <row r="3" spans="1:9" x14ac:dyDescent="0.25">
      <c r="A3" s="134"/>
      <c r="B3" s="134"/>
      <c r="C3" s="134"/>
      <c r="D3" s="134"/>
      <c r="E3" s="134"/>
      <c r="F3" s="134"/>
      <c r="G3" s="134"/>
    </row>
    <row r="4" spans="1:9" ht="15.75" thickBot="1" x14ac:dyDescent="0.3">
      <c r="A4" s="108"/>
      <c r="B4" s="108"/>
      <c r="C4" s="108"/>
      <c r="D4" s="108"/>
      <c r="E4" s="108"/>
      <c r="F4" s="108"/>
      <c r="G4" s="108"/>
    </row>
    <row r="5" spans="1:9" ht="30.75" customHeight="1" x14ac:dyDescent="0.25">
      <c r="A5" s="124" t="s">
        <v>21</v>
      </c>
      <c r="B5" s="125"/>
      <c r="C5" s="125"/>
      <c r="D5" s="125"/>
      <c r="E5" s="125"/>
      <c r="F5" s="125"/>
      <c r="G5" s="126" t="b">
        <v>0</v>
      </c>
      <c r="H5" s="25">
        <f>IF(G5=TRUE,1,0)</f>
        <v>0</v>
      </c>
    </row>
    <row r="6" spans="1:9" x14ac:dyDescent="0.25">
      <c r="A6" s="109"/>
      <c r="B6" s="110"/>
      <c r="C6" s="110"/>
      <c r="D6" s="110"/>
      <c r="E6" s="110"/>
      <c r="F6" s="110"/>
      <c r="G6" s="111"/>
      <c r="H6" s="25"/>
    </row>
    <row r="7" spans="1:9" ht="29.25" customHeight="1" x14ac:dyDescent="0.25">
      <c r="A7" s="127" t="s">
        <v>296</v>
      </c>
      <c r="B7" s="128"/>
      <c r="C7" s="128"/>
      <c r="D7" s="128"/>
      <c r="E7" s="128"/>
      <c r="F7" s="128"/>
      <c r="G7" s="129" t="b">
        <v>0</v>
      </c>
      <c r="H7" s="25">
        <f>IF(G7=TRUE,1,0)</f>
        <v>0</v>
      </c>
    </row>
    <row r="8" spans="1:9" x14ac:dyDescent="0.25">
      <c r="A8" s="112"/>
      <c r="B8" s="113"/>
      <c r="C8" s="113"/>
      <c r="D8" s="113"/>
      <c r="E8" s="113"/>
      <c r="F8" s="113"/>
      <c r="G8" s="114"/>
      <c r="H8" s="25"/>
    </row>
    <row r="9" spans="1:9" ht="29.25" customHeight="1" x14ac:dyDescent="0.25">
      <c r="A9" s="127" t="s">
        <v>297</v>
      </c>
      <c r="B9" s="128"/>
      <c r="C9" s="128"/>
      <c r="D9" s="128"/>
      <c r="E9" s="128"/>
      <c r="F9" s="128"/>
      <c r="G9" s="129" t="b">
        <v>0</v>
      </c>
      <c r="H9" s="25">
        <f>IF(G9=TRUE,1,0)</f>
        <v>0</v>
      </c>
    </row>
    <row r="10" spans="1:9" x14ac:dyDescent="0.25">
      <c r="A10" s="112"/>
      <c r="B10" s="113"/>
      <c r="C10" s="113"/>
      <c r="D10" s="113"/>
      <c r="E10" s="113"/>
      <c r="F10" s="113"/>
      <c r="G10" s="114"/>
      <c r="H10" s="25"/>
    </row>
    <row r="11" spans="1:9" ht="30" customHeight="1" x14ac:dyDescent="0.25">
      <c r="A11" s="127" t="s">
        <v>298</v>
      </c>
      <c r="B11" s="128"/>
      <c r="C11" s="128"/>
      <c r="D11" s="128"/>
      <c r="E11" s="128"/>
      <c r="F11" s="128"/>
      <c r="G11" s="129" t="b">
        <v>0</v>
      </c>
      <c r="H11" s="25">
        <f>IF(G11=TRUE,1,0)</f>
        <v>0</v>
      </c>
    </row>
    <row r="12" spans="1:9" x14ac:dyDescent="0.25">
      <c r="A12" s="112"/>
      <c r="B12" s="113"/>
      <c r="C12" s="113"/>
      <c r="D12" s="113"/>
      <c r="E12" s="113"/>
      <c r="F12" s="113"/>
      <c r="G12" s="114"/>
      <c r="H12" s="25"/>
    </row>
    <row r="13" spans="1:9" ht="30.75" customHeight="1" thickBot="1" x14ac:dyDescent="0.3">
      <c r="A13" s="130" t="s">
        <v>299</v>
      </c>
      <c r="B13" s="131"/>
      <c r="C13" s="131"/>
      <c r="D13" s="131"/>
      <c r="E13" s="131"/>
      <c r="F13" s="131"/>
      <c r="G13" s="132" t="b">
        <v>0</v>
      </c>
      <c r="H13" s="25">
        <f>IF(G13=TRUE,1,0)</f>
        <v>0</v>
      </c>
    </row>
    <row r="14" spans="1:9" ht="15.75" thickBot="1" x14ac:dyDescent="0.3">
      <c r="A14" s="3"/>
      <c r="B14" s="3"/>
      <c r="C14" s="3"/>
      <c r="D14" s="3"/>
      <c r="E14" s="3"/>
      <c r="F14" s="3"/>
      <c r="G14" s="3"/>
      <c r="H14" s="105">
        <f>SUM(H5:H13)</f>
        <v>0</v>
      </c>
    </row>
    <row r="15" spans="1:9" x14ac:dyDescent="0.25">
      <c r="A15" s="115" t="str">
        <f>IF(H14&lt;2,"დაბალი რისკი",IF(H14&gt;1,"მაღალი რისკი",0))</f>
        <v>დაბალი რისკი</v>
      </c>
      <c r="B15" s="116"/>
      <c r="C15" s="116"/>
      <c r="D15" s="116"/>
      <c r="E15" s="116"/>
      <c r="F15" s="116"/>
      <c r="G15" s="117"/>
    </row>
    <row r="16" spans="1:9" x14ac:dyDescent="0.25">
      <c r="A16" s="118"/>
      <c r="B16" s="119"/>
      <c r="C16" s="119"/>
      <c r="D16" s="119"/>
      <c r="E16" s="119"/>
      <c r="F16" s="119"/>
      <c r="G16" s="120"/>
      <c r="I16" s="7" t="s">
        <v>22</v>
      </c>
    </row>
    <row r="17" spans="1:7" ht="15.75" thickBot="1" x14ac:dyDescent="0.3">
      <c r="A17" s="121"/>
      <c r="B17" s="122"/>
      <c r="C17" s="122"/>
      <c r="D17" s="122"/>
      <c r="E17" s="122"/>
      <c r="F17" s="122"/>
      <c r="G17" s="123"/>
    </row>
    <row r="18" spans="1:7" s="3" customFormat="1" x14ac:dyDescent="0.25"/>
    <row r="19" spans="1:7" s="3" customFormat="1" x14ac:dyDescent="0.25"/>
    <row r="20" spans="1:7" s="3" customFormat="1" x14ac:dyDescent="0.25">
      <c r="A20" s="3" t="str">
        <f>IF(H14=0,"ამბულატორიული მართვა",IF(H14=1,"ჰოსპიტალიზაცია ზოგად თერაპიაში",IF(H14=2,"ჰოსპიტალიზაცია ზოგად თერაპიაში",IF(H14&gt;2,"ჰოსპიტალიზაცია ინტენსიურ თერაპიაში",""))))</f>
        <v>ამბულატორიული მართვა</v>
      </c>
    </row>
    <row r="21" spans="1:7" s="3" customFormat="1" x14ac:dyDescent="0.25"/>
    <row r="22" spans="1:7" s="3" customFormat="1" x14ac:dyDescent="0.25"/>
    <row r="23" spans="1:7" s="3" customFormat="1" x14ac:dyDescent="0.25"/>
    <row r="24" spans="1:7" s="3" customFormat="1" x14ac:dyDescent="0.25"/>
    <row r="25" spans="1:7" s="3" customFormat="1" x14ac:dyDescent="0.25"/>
    <row r="26" spans="1:7" s="3" customFormat="1" x14ac:dyDescent="0.25"/>
    <row r="27" spans="1:7" s="3" customFormat="1" x14ac:dyDescent="0.25"/>
    <row r="28" spans="1:7" s="3" customFormat="1" x14ac:dyDescent="0.25"/>
    <row r="29" spans="1:7" s="3" customFormat="1" x14ac:dyDescent="0.25"/>
    <row r="30" spans="1:7" s="3" customFormat="1" x14ac:dyDescent="0.25"/>
    <row r="31" spans="1:7" s="3" customFormat="1" x14ac:dyDescent="0.25"/>
    <row r="32" spans="1:7"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row r="41" s="3" customFormat="1" x14ac:dyDescent="0.25"/>
    <row r="42" s="3"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sheetData>
  <sheetProtection algorithmName="SHA-512" hashValue="oyYsWr91sclltnSr/MPujvo5Nnw81dqYUBaTrJpdOIb15f6N1VqhowfQXCmS2IBwftreIRxo6SLGMBfo104qig==" saltValue="2shlgP/bgQhONnrREDp1fA==" spinCount="100000" sheet="1" objects="1" scenarios="1"/>
  <mergeCells count="12">
    <mergeCell ref="A15:G17"/>
    <mergeCell ref="A1:G3"/>
    <mergeCell ref="A4:G4"/>
    <mergeCell ref="A5:F5"/>
    <mergeCell ref="A6:G6"/>
    <mergeCell ref="A7:F7"/>
    <mergeCell ref="A8:G8"/>
    <mergeCell ref="A9:F9"/>
    <mergeCell ref="A10:G10"/>
    <mergeCell ref="A11:F11"/>
    <mergeCell ref="A12:G12"/>
    <mergeCell ref="A13:F13"/>
  </mergeCells>
  <conditionalFormatting sqref="A15:G17">
    <cfRule type="containsText" dxfId="0" priority="1" operator="containsText" text="მაღალი რისკი">
      <formula>NOT(ISERROR(SEARCH("მაღალი რისკი",A15)))</formula>
    </cfRule>
  </conditionalFormatting>
  <hyperlinks>
    <hyperlink ref="I16" location="Sheet1!A1" display="უკან" xr:uid="{E319E8E8-E9E7-4AEC-9742-3EFC7465BFC6}"/>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5</xdr:col>
                    <xdr:colOff>657225</xdr:colOff>
                    <xdr:row>3</xdr:row>
                    <xdr:rowOff>190500</xdr:rowOff>
                  </from>
                  <to>
                    <xdr:col>6</xdr:col>
                    <xdr:colOff>666750</xdr:colOff>
                    <xdr:row>5</xdr:row>
                    <xdr:rowOff>19050</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5</xdr:col>
                    <xdr:colOff>657225</xdr:colOff>
                    <xdr:row>5</xdr:row>
                    <xdr:rowOff>152400</xdr:rowOff>
                  </from>
                  <to>
                    <xdr:col>7</xdr:col>
                    <xdr:colOff>28575</xdr:colOff>
                    <xdr:row>6</xdr:row>
                    <xdr:rowOff>361950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5</xdr:col>
                    <xdr:colOff>666750</xdr:colOff>
                    <xdr:row>7</xdr:row>
                    <xdr:rowOff>171450</xdr:rowOff>
                  </from>
                  <to>
                    <xdr:col>7</xdr:col>
                    <xdr:colOff>9525</xdr:colOff>
                    <xdr:row>9</xdr:row>
                    <xdr:rowOff>9525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5</xdr:col>
                    <xdr:colOff>676275</xdr:colOff>
                    <xdr:row>9</xdr:row>
                    <xdr:rowOff>180975</xdr:rowOff>
                  </from>
                  <to>
                    <xdr:col>6</xdr:col>
                    <xdr:colOff>657225</xdr:colOff>
                    <xdr:row>11</xdr:row>
                    <xdr:rowOff>19050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5</xdr:col>
                    <xdr:colOff>666750</xdr:colOff>
                    <xdr:row>11</xdr:row>
                    <xdr:rowOff>180975</xdr:rowOff>
                  </from>
                  <to>
                    <xdr:col>6</xdr:col>
                    <xdr:colOff>657225</xdr:colOff>
                    <xdr:row>13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9CA2C-5367-4D2B-AF47-A917F01DECD8}">
  <dimension ref="A1:AQ57"/>
  <sheetViews>
    <sheetView workbookViewId="0">
      <selection sqref="A1:N2"/>
    </sheetView>
  </sheetViews>
  <sheetFormatPr defaultColWidth="9" defaultRowHeight="15" x14ac:dyDescent="0.25"/>
  <cols>
    <col min="1" max="28" width="9" style="1"/>
    <col min="29" max="43" width="9" style="12"/>
    <col min="44" max="16384" width="9" style="1"/>
  </cols>
  <sheetData>
    <row r="1" spans="1:43" x14ac:dyDescent="0.25">
      <c r="A1" s="48" t="s">
        <v>24</v>
      </c>
      <c r="B1" s="48"/>
      <c r="C1" s="48"/>
      <c r="D1" s="48"/>
      <c r="E1" s="48"/>
      <c r="F1" s="48"/>
      <c r="G1" s="48"/>
      <c r="H1" s="48"/>
      <c r="I1" s="48"/>
      <c r="J1" s="48"/>
      <c r="K1" s="48"/>
      <c r="L1" s="48"/>
      <c r="M1" s="48"/>
      <c r="N1" s="48"/>
      <c r="O1" s="46" t="s">
        <v>34</v>
      </c>
      <c r="P1" s="46"/>
      <c r="Q1" s="46"/>
      <c r="R1" s="46"/>
      <c r="S1" s="46"/>
      <c r="T1" s="46"/>
      <c r="U1" s="46"/>
      <c r="V1" s="46"/>
      <c r="W1" s="46"/>
      <c r="X1" s="46"/>
      <c r="Y1" s="46"/>
      <c r="Z1" s="46"/>
      <c r="AA1" s="46"/>
      <c r="AB1" s="46"/>
    </row>
    <row r="2" spans="1:43" x14ac:dyDescent="0.25">
      <c r="A2" s="48"/>
      <c r="B2" s="48"/>
      <c r="C2" s="48"/>
      <c r="D2" s="48"/>
      <c r="E2" s="48"/>
      <c r="F2" s="48"/>
      <c r="G2" s="48"/>
      <c r="H2" s="48"/>
      <c r="I2" s="48"/>
      <c r="J2" s="48"/>
      <c r="K2" s="48"/>
      <c r="L2" s="48"/>
      <c r="M2" s="48"/>
      <c r="N2" s="48"/>
      <c r="O2" s="46"/>
      <c r="P2" s="46"/>
      <c r="Q2" s="46"/>
      <c r="R2" s="46"/>
      <c r="S2" s="46"/>
      <c r="T2" s="46"/>
      <c r="U2" s="46"/>
      <c r="V2" s="46"/>
      <c r="W2" s="46"/>
      <c r="X2" s="46"/>
      <c r="Y2" s="46"/>
      <c r="Z2" s="46"/>
      <c r="AA2" s="46"/>
      <c r="AB2" s="46"/>
      <c r="AQ2" s="12" t="s">
        <v>25</v>
      </c>
    </row>
    <row r="3" spans="1:43" ht="15" customHeight="1" x14ac:dyDescent="0.25">
      <c r="C3" s="11"/>
      <c r="O3" s="47" t="s">
        <v>259</v>
      </c>
      <c r="P3" s="47"/>
      <c r="Q3" s="47"/>
      <c r="R3" s="47"/>
      <c r="S3" s="47"/>
      <c r="T3" s="47"/>
      <c r="U3" s="47"/>
      <c r="V3" s="47"/>
      <c r="W3" s="47"/>
      <c r="X3" s="47"/>
      <c r="Y3" s="47"/>
      <c r="Z3" s="47"/>
      <c r="AA3" s="47"/>
      <c r="AB3" s="47"/>
      <c r="AQ3" s="12" t="s">
        <v>26</v>
      </c>
    </row>
    <row r="4" spans="1:43" x14ac:dyDescent="0.25">
      <c r="A4" s="1" t="s">
        <v>27</v>
      </c>
      <c r="C4" s="11">
        <v>1</v>
      </c>
      <c r="O4" s="47"/>
      <c r="P4" s="47"/>
      <c r="Q4" s="47"/>
      <c r="R4" s="47"/>
      <c r="S4" s="47"/>
      <c r="T4" s="47"/>
      <c r="U4" s="47"/>
      <c r="V4" s="47"/>
      <c r="W4" s="47"/>
      <c r="X4" s="47"/>
      <c r="Y4" s="47"/>
      <c r="Z4" s="47"/>
      <c r="AA4" s="47"/>
      <c r="AB4" s="47"/>
    </row>
    <row r="5" spans="1:43" x14ac:dyDescent="0.25">
      <c r="O5" s="47"/>
      <c r="P5" s="47"/>
      <c r="Q5" s="47"/>
      <c r="R5" s="47"/>
      <c r="S5" s="47"/>
      <c r="T5" s="47"/>
      <c r="U5" s="47"/>
      <c r="V5" s="47"/>
      <c r="W5" s="47"/>
      <c r="X5" s="47"/>
      <c r="Y5" s="47"/>
      <c r="Z5" s="47"/>
      <c r="AA5" s="47"/>
      <c r="AB5" s="47"/>
      <c r="AQ5" s="12" t="s">
        <v>28</v>
      </c>
    </row>
    <row r="6" spans="1:43" x14ac:dyDescent="0.25">
      <c r="A6" s="1" t="str">
        <f>IF(C4=2,"მონიშნეთ არსებული რისკ-ფაქტორები:","")</f>
        <v/>
      </c>
      <c r="O6" s="47"/>
      <c r="P6" s="47"/>
      <c r="Q6" s="47"/>
      <c r="R6" s="47"/>
      <c r="S6" s="47"/>
      <c r="T6" s="47"/>
      <c r="U6" s="47"/>
      <c r="V6" s="47"/>
      <c r="W6" s="47"/>
      <c r="X6" s="47"/>
      <c r="Y6" s="47"/>
      <c r="Z6" s="47"/>
      <c r="AA6" s="47"/>
      <c r="AB6" s="47"/>
      <c r="AQ6" s="12" t="s">
        <v>29</v>
      </c>
    </row>
    <row r="7" spans="1:43" x14ac:dyDescent="0.25">
      <c r="B7" s="1" t="str">
        <f>IF(C4=2,"- დადასტურებული ან გადატანილი MRSA ინფექცია",IF(C4=3,"- დადასტურებული ან გადატანილი MRSA ინფექცია",""))</f>
        <v/>
      </c>
      <c r="O7" s="1" t="s">
        <v>46</v>
      </c>
      <c r="AC7" s="13" t="b">
        <v>0</v>
      </c>
    </row>
    <row r="8" spans="1:43" x14ac:dyDescent="0.25">
      <c r="B8" s="1" t="str">
        <f>IF(C4=2,"- ნახველში გრამ-დადებითი კოკები",IF(C4=3,"- ნახველში გრამ-დადებითი კოკები",""))</f>
        <v/>
      </c>
      <c r="AC8" s="13" t="b">
        <v>0</v>
      </c>
    </row>
    <row r="9" spans="1:43" x14ac:dyDescent="0.25">
      <c r="B9" s="1" t="str">
        <f>IF(C4=2,"- ბოლო 3 თვის განმავლობაში ჰოსპიტალიზაცია ინტრავენური ანტიბიოტიკოთერაპიით",IF(C4=3,"- ბოლო 3 თვის განმავლობაში ჰოსპიტალიზაცია ინტრავენური ანტიბიოტიკოთერაპიით",""))</f>
        <v/>
      </c>
      <c r="O9" s="46" t="s">
        <v>35</v>
      </c>
      <c r="P9" s="46"/>
      <c r="Q9" s="46"/>
      <c r="R9" s="46"/>
      <c r="S9" s="46"/>
      <c r="T9" s="46"/>
      <c r="U9" s="46"/>
      <c r="V9" s="46"/>
      <c r="W9" s="46"/>
      <c r="X9" s="46"/>
      <c r="Y9" s="46"/>
      <c r="Z9" s="46"/>
      <c r="AA9" s="46"/>
      <c r="AB9" s="46"/>
      <c r="AC9" s="13" t="b">
        <v>0</v>
      </c>
    </row>
    <row r="10" spans="1:43" x14ac:dyDescent="0.25">
      <c r="B10" s="1" t="str">
        <f>IF(C4=2,"- ახლადგადატანილი გრიპისმაგვარი ინფექცია",IF(C4=3,"- ახლადგადატანილი გრიპისმაგვარი ინფექცია",""))</f>
        <v/>
      </c>
      <c r="O10" s="46"/>
      <c r="P10" s="46"/>
      <c r="Q10" s="46"/>
      <c r="R10" s="46"/>
      <c r="S10" s="46"/>
      <c r="T10" s="46"/>
      <c r="U10" s="46"/>
      <c r="V10" s="46"/>
      <c r="W10" s="46"/>
      <c r="X10" s="46"/>
      <c r="Y10" s="46"/>
      <c r="Z10" s="46"/>
      <c r="AA10" s="46"/>
      <c r="AB10" s="46"/>
      <c r="AC10" s="13" t="b">
        <v>0</v>
      </c>
    </row>
    <row r="11" spans="1:43" x14ac:dyDescent="0.25">
      <c r="B11" s="1" t="str">
        <f>IF(C4=2,"- მანეკროზებელი ან კავიტაციით  მიმდინარე პნევმონია",IF(C4=3,"- მანეკროზებელი ან კავიტაციით  მიმდინარე პნევმონია",""))</f>
        <v/>
      </c>
      <c r="O11" s="1" t="s">
        <v>36</v>
      </c>
      <c r="AC11" s="13" t="b">
        <v>0</v>
      </c>
    </row>
    <row r="12" spans="1:43" x14ac:dyDescent="0.25">
      <c r="B12" s="1" t="str">
        <f>IF(C4=2,"- ემპიემა",IF(C4=3,"- ემპიემა",""))</f>
        <v/>
      </c>
      <c r="O12" s="1" t="s">
        <v>37</v>
      </c>
      <c r="AC12" s="13" t="b">
        <v>0</v>
      </c>
    </row>
    <row r="13" spans="1:43" x14ac:dyDescent="0.25">
      <c r="B13" s="1" t="str">
        <f>IF(C4=2,"- თირკმლების ტერმინალური დაავადება",IF(C4=3,"- თირკმლების ტერმინალური დაავადება",""))</f>
        <v/>
      </c>
      <c r="O13" s="1" t="s">
        <v>38</v>
      </c>
      <c r="AC13" s="13" t="b">
        <v>0</v>
      </c>
    </row>
    <row r="14" spans="1:43" x14ac:dyDescent="0.25">
      <c r="B14" s="1" t="str">
        <f>IF(C4=2,"- ჰომოსექსუალი მამაკაცი",IF(C4=3,"- ჰომოსექსუალი მამაკაცი",""))</f>
        <v/>
      </c>
      <c r="AC14" s="13" t="b">
        <v>0</v>
      </c>
    </row>
    <row r="15" spans="1:43" x14ac:dyDescent="0.25">
      <c r="B15" s="1" t="str">
        <f>IF(C4=2,"- მჭიდროდ დასახლებულ გარემოში ცხოვრება",IF(C4=3,"- მჭიდროდ დასახლებულ გარემოში ცხოვრება",""))</f>
        <v/>
      </c>
      <c r="O15" s="46" t="s">
        <v>39</v>
      </c>
      <c r="P15" s="46"/>
      <c r="Q15" s="46"/>
      <c r="R15" s="46"/>
      <c r="S15" s="46"/>
      <c r="T15" s="46"/>
      <c r="U15" s="46"/>
      <c r="V15" s="46"/>
      <c r="W15" s="46"/>
      <c r="X15" s="46"/>
      <c r="Y15" s="46"/>
      <c r="Z15" s="46"/>
      <c r="AA15" s="46"/>
      <c r="AB15" s="46"/>
      <c r="AC15" s="13" t="b">
        <v>0</v>
      </c>
    </row>
    <row r="16" spans="1:43" x14ac:dyDescent="0.25">
      <c r="B16" s="1" t="str">
        <f>IF(C4=2,"- ტუსაღობა",IF(C4=3,"- ტუსაღობა",""))</f>
        <v/>
      </c>
      <c r="O16" s="46"/>
      <c r="P16" s="46"/>
      <c r="Q16" s="46"/>
      <c r="R16" s="46"/>
      <c r="S16" s="46"/>
      <c r="T16" s="46"/>
      <c r="U16" s="46"/>
      <c r="V16" s="46"/>
      <c r="W16" s="46"/>
      <c r="X16" s="46"/>
      <c r="Y16" s="46"/>
      <c r="Z16" s="46"/>
      <c r="AA16" s="46"/>
      <c r="AB16" s="46"/>
      <c r="AC16" s="13" t="b">
        <v>0</v>
      </c>
      <c r="AQ16" s="12" t="s">
        <v>30</v>
      </c>
    </row>
    <row r="17" spans="1:43" x14ac:dyDescent="0.25">
      <c r="B17" s="1" t="str">
        <f>IF(C4=2,"- ინტრავენური ნარკომანია",IF(C4=3,"- ინტრავენური ნარკომანია",""))</f>
        <v/>
      </c>
      <c r="O17" s="1" t="s">
        <v>40</v>
      </c>
      <c r="AC17" s="13" t="b">
        <v>0</v>
      </c>
      <c r="AQ17" s="12" t="s">
        <v>31</v>
      </c>
    </row>
    <row r="18" spans="1:43" x14ac:dyDescent="0.25">
      <c r="B18" s="1" t="str">
        <f>IF(C4=2,"- კონტაქტური სპორტის მიმდევრობა",IF(C4=3,"- კონტაქტური სპორტის მიმდევრობა",""))</f>
        <v/>
      </c>
      <c r="O18" s="1" t="s">
        <v>41</v>
      </c>
      <c r="AC18" s="13" t="b">
        <v>0</v>
      </c>
      <c r="AQ18" s="12" t="s">
        <v>32</v>
      </c>
    </row>
    <row r="19" spans="1:43" x14ac:dyDescent="0.25">
      <c r="B19" s="1" t="str">
        <f>IF(C4=2,"- ნახველში გრამ-უარყოფითი ბაცილები",IF(C4=3,"- ნახველში გრამ-უარყოფითი ბაცილები",""))</f>
        <v/>
      </c>
      <c r="O19" s="1" t="s">
        <v>42</v>
      </c>
      <c r="AC19" s="13" t="b">
        <v>0</v>
      </c>
      <c r="AQ19" s="12" t="s">
        <v>33</v>
      </c>
    </row>
    <row r="20" spans="1:43" x14ac:dyDescent="0.25">
      <c r="B20" s="1" t="str">
        <f>IF(C4=2,"- დადასტურებული ან გადატანილი ფსევდომონა ინფექცია",IF(C4=3,"- დადასტურებული ან გადატანილი ფსევდომონა ინფექცია",""))</f>
        <v/>
      </c>
      <c r="AC20" s="13" t="b">
        <v>0</v>
      </c>
    </row>
    <row r="21" spans="1:43" x14ac:dyDescent="0.25">
      <c r="B21" s="1" t="str">
        <f>IF(C4=2,"- ფილტვის სტრუქტურული ანომალია (მაგ., ბრონქოექტაზია)",IF(C4=3,"- ფილტვის სტრუქტურული ანომალია (მაგ., ბრონქოექტაზია)",""))</f>
        <v/>
      </c>
      <c r="O21" s="46" t="s">
        <v>43</v>
      </c>
      <c r="P21" s="46"/>
      <c r="Q21" s="46"/>
      <c r="R21" s="46"/>
      <c r="S21" s="46"/>
      <c r="T21" s="46"/>
      <c r="U21" s="46"/>
      <c r="V21" s="46"/>
      <c r="W21" s="46"/>
      <c r="X21" s="46"/>
      <c r="Y21" s="46"/>
      <c r="Z21" s="46"/>
      <c r="AA21" s="46"/>
      <c r="AB21" s="46"/>
      <c r="AC21" s="13" t="b">
        <v>0</v>
      </c>
      <c r="AQ21" s="12" t="s">
        <v>59</v>
      </c>
    </row>
    <row r="22" spans="1:43" x14ac:dyDescent="0.25">
      <c r="B22" s="1" t="str">
        <f>IF(C4=2,"- ფქოდის ხშირი გამწვავება კორტიკოსტეროიდების ანდა ანტიბიოტიკოთერაპიის ხშირი საჭიროებით",IF(C4=3,"- ფქოდის ხშირი გამწვავება კორტიკოსტეროიების ანდა ანტიბიოტიკოთერაპიის ხშირი საჭიროებით",""))</f>
        <v/>
      </c>
      <c r="O22" s="46"/>
      <c r="P22" s="46"/>
      <c r="Q22" s="46"/>
      <c r="R22" s="46"/>
      <c r="S22" s="46"/>
      <c r="T22" s="46"/>
      <c r="U22" s="46"/>
      <c r="V22" s="46"/>
      <c r="W22" s="46"/>
      <c r="X22" s="46"/>
      <c r="Y22" s="46"/>
      <c r="Z22" s="46"/>
      <c r="AA22" s="46"/>
      <c r="AB22" s="46"/>
      <c r="AC22" s="13" t="b">
        <v>0</v>
      </c>
      <c r="AQ22" s="12" t="s">
        <v>60</v>
      </c>
    </row>
    <row r="23" spans="1:43" x14ac:dyDescent="0.25">
      <c r="O23" s="1" t="s">
        <v>44</v>
      </c>
      <c r="AQ23" s="12" t="s">
        <v>61</v>
      </c>
    </row>
    <row r="24" spans="1:43" x14ac:dyDescent="0.25">
      <c r="O24" s="1" t="s">
        <v>40</v>
      </c>
      <c r="AQ24" s="12" t="s">
        <v>62</v>
      </c>
    </row>
    <row r="25" spans="1:43" x14ac:dyDescent="0.25">
      <c r="A25" s="1" t="str">
        <f>IF(AC7,"MRSA-ს ძლიერი რისკ-ფაქტორი. ემპირიული ანტიბიოტიკოთერაპიის საჭიროება",IF(AC8,"MRSA-ს ძლიერი რისკ-ფაქტორი. ემპირიული ანტიბიოტიკოთერაპიის საჭიროება",IF(AC9,"საეჭვო MRSA. შესაძლოა ემპირიული ანტიბიოტიკოთერაპია",IF(AC10,"საეჭვო MRSA. შესაძლოა ემპირიული ანტიბიოტიკოთერაპია",IF(AC11,"საეჭვო MRSA. შესაძლოა ემპირიული ანტიბიოტიკოთერაპია",IF(AC12,"საეჭვო MRSA. შესაძლოა ემპირიული ანტიბიოტიკოთერაპია",IF(AC13,"საეჭვო MRSA. შესაძლოა ემპირიული ანტიბიოტიკოთერაპია",IF(AC14,"საეჭვო MRSA. შესაძლოა ემპირიული ანტიბიოტიკოთერაპია",IF(AC15,"საეჭვო MRSA. შესაძლოა ემპირიული ანტიბიოტიკოთერაპია",IF(AC16,"საეჭვო MRSA. შესაძლოა ემპირიული ანტიბიოტიკოთერაპია",IF(AC17,"საეჭვო MRSA. შესაძლოა ემპირიული ანტიბიოტიკოთერაპია",IF(AC18,"საეჭვო MRSA. შესაძლოა ემპირიული ანტიბიოტიკოთერაპია",""))))))))))))</f>
        <v/>
      </c>
      <c r="N25" s="12">
        <f>IF(A25="MRSA-ს ძლიერი რისკ-ფაქტორი. ემპირიული ანტიბიოტიკოთერაპიის საჭიროება",1,IF(A25="საეჭვო MRSA. შესაძლოა ემპირიული ანტიბიოტიკოთერაპია",2,IF(A25="",0,"")))</f>
        <v>0</v>
      </c>
    </row>
    <row r="26" spans="1:43" x14ac:dyDescent="0.25">
      <c r="A26" s="1" t="str">
        <f>IF(AC19,"ფსევდომონას ძლიერი რისკ-ფაქტორი. ემპირიული ანტიბიოტიკოთერაპიის საჭიროება",IF(AC20,"ფსევდომონას ძლიერი რისკ-ფაქტორი. ემპირიული ანტიბიოტიკოთერაპიის საჭიროება",IF(AC9,"ფსევდომონას ძლიერი რისკ-ფაქტორი. ემპირიული ანტიბიოტიკოთერაპიის საჭიროება",IF(AC21,"საეჭვო ფსევდომონა. შესაძლოა ემპირიული ანტიბიოტიკოთერაპია",IF(AC22,"საეჭვო ფსევდომონა. შესაძლოა ემპირიული ანტიბიოტიკოთერაპია","")))))</f>
        <v/>
      </c>
      <c r="N26" s="12">
        <f>IF(A26="ფსევდომონას ძლიერი რისკ-ფაქტორი. ემპირიული ანტიბიოტიკოთერაპიის საჭიროება",1,IF(A26="საეჭვო ფსევდომონა. შესაძლოა ემპირიული ანტიბიოტიკოთერაპია",2,IF(A26="",0,"")))</f>
        <v>0</v>
      </c>
      <c r="O26" s="46" t="s">
        <v>45</v>
      </c>
      <c r="P26" s="46"/>
      <c r="Q26" s="46"/>
      <c r="R26" s="46"/>
      <c r="S26" s="46"/>
      <c r="T26" s="46"/>
      <c r="U26" s="46"/>
      <c r="V26" s="46"/>
      <c r="W26" s="46"/>
      <c r="X26" s="46"/>
      <c r="Y26" s="46"/>
      <c r="Z26" s="46"/>
      <c r="AA26" s="46"/>
      <c r="AB26" s="46"/>
      <c r="AQ26" s="12" t="s">
        <v>67</v>
      </c>
    </row>
    <row r="27" spans="1:43" x14ac:dyDescent="0.25">
      <c r="O27" s="46"/>
      <c r="P27" s="46"/>
      <c r="Q27" s="46"/>
      <c r="R27" s="46"/>
      <c r="S27" s="46"/>
      <c r="T27" s="46"/>
      <c r="U27" s="46"/>
      <c r="V27" s="46"/>
      <c r="W27" s="46"/>
      <c r="X27" s="46"/>
      <c r="Y27" s="46"/>
      <c r="Z27" s="46"/>
      <c r="AA27" s="46"/>
      <c r="AB27" s="46"/>
      <c r="AQ27" s="12" t="s">
        <v>65</v>
      </c>
    </row>
    <row r="28" spans="1:43" x14ac:dyDescent="0.25">
      <c r="A28" s="2" t="str">
        <f>IF(AND(C4=2,N25=1,N26=1),AQ21,IF(AND(C4=2,N25=1,N26=2),AQ21,IF(AND(C4=2,N25=2,N26=1),AQ21,IF(AND(C4=2,N25=2,N26=2),AQ21,IF(AND(C4=2,N25=0,N26=1),AQ22,IF(AND(C4=2,N25=0,N26=2),AQ22,IF(AND(C4=2,N25=1,N26=0),AQ23,IF(AND(C4=2,N25=2,N26=0),AQ23,IF(AND(C4=2,N25=0,N26=0),AQ24,IF(AND(C4=3,N25=1,N26=1),AQ30,IF(AND(C4=3,N25=0,N26=1),AQ31,IF(AND(C4=3,N25=0,N26=2),AQ31,IF(AND(C4=3,N25=1,N26=0),AQ32,IF(AND(C4=3,N25=2,N26=1),AQ30,IF(AND(C4=3,N25=2,N26=0),AQ32,IF(AND(C4=3,N25=2,N26=2),AQ30,IF(AND(C4=3,N25=0,N26=0),AQ35,"")))))))))))))))))</f>
        <v/>
      </c>
      <c r="O28" s="47" t="s">
        <v>264</v>
      </c>
      <c r="P28" s="47"/>
      <c r="Q28" s="47"/>
      <c r="R28" s="47"/>
      <c r="S28" s="47"/>
      <c r="T28" s="47"/>
      <c r="U28" s="47"/>
      <c r="V28" s="47"/>
      <c r="W28" s="47"/>
      <c r="X28" s="47"/>
      <c r="Y28" s="47"/>
      <c r="Z28" s="47"/>
      <c r="AA28" s="47"/>
      <c r="AB28" s="47"/>
      <c r="AQ28" s="12" t="s">
        <v>66</v>
      </c>
    </row>
    <row r="29" spans="1:43" x14ac:dyDescent="0.25">
      <c r="A29" s="2" t="str">
        <f>IF(AND(C4=3,N25=1,N26=0),AQ33,IF(AND(C4=3,N25=2,N26=0),AQ33,IF(AND(C4=3,N25=0,N26=0),AQ36,"")))</f>
        <v/>
      </c>
      <c r="O29" s="47"/>
      <c r="P29" s="47"/>
      <c r="Q29" s="47"/>
      <c r="R29" s="47"/>
      <c r="S29" s="47"/>
      <c r="T29" s="47"/>
      <c r="U29" s="47"/>
      <c r="V29" s="47"/>
      <c r="W29" s="47"/>
      <c r="X29" s="47"/>
      <c r="Y29" s="47"/>
      <c r="Z29" s="47"/>
      <c r="AA29" s="47"/>
      <c r="AB29" s="47"/>
    </row>
    <row r="30" spans="1:43" x14ac:dyDescent="0.25">
      <c r="O30" s="47"/>
      <c r="P30" s="47"/>
      <c r="Q30" s="47"/>
      <c r="R30" s="47"/>
      <c r="S30" s="47"/>
      <c r="T30" s="47"/>
      <c r="U30" s="47"/>
      <c r="V30" s="47"/>
      <c r="W30" s="47"/>
      <c r="X30" s="47"/>
      <c r="Y30" s="47"/>
      <c r="Z30" s="47"/>
      <c r="AA30" s="47"/>
      <c r="AB30" s="47"/>
      <c r="AQ30" s="12" t="s">
        <v>67</v>
      </c>
    </row>
    <row r="31" spans="1:43" x14ac:dyDescent="0.25">
      <c r="A31" s="2" t="str">
        <f>IF(AND(C4=3,N25=1,N26=0),AQ34,IF(AND(C4=3,N25=2,N26=0),AQ34,IF(AND(C4=3,N25=0,N26=0),AQ37,"")))</f>
        <v/>
      </c>
      <c r="O31" s="47"/>
      <c r="P31" s="47"/>
      <c r="Q31" s="47"/>
      <c r="R31" s="47"/>
      <c r="S31" s="47"/>
      <c r="T31" s="47"/>
      <c r="U31" s="47"/>
      <c r="V31" s="47"/>
      <c r="W31" s="47"/>
      <c r="X31" s="47"/>
      <c r="Y31" s="47"/>
      <c r="Z31" s="47"/>
      <c r="AA31" s="47"/>
      <c r="AB31" s="47"/>
      <c r="AQ31" s="12" t="s">
        <v>65</v>
      </c>
    </row>
    <row r="32" spans="1:43" x14ac:dyDescent="0.25">
      <c r="O32" s="1" t="s">
        <v>47</v>
      </c>
      <c r="AQ32" s="12" t="s">
        <v>68</v>
      </c>
    </row>
    <row r="33" spans="15:43" x14ac:dyDescent="0.25">
      <c r="O33" s="1" t="s">
        <v>48</v>
      </c>
      <c r="AQ33" s="12" t="s">
        <v>70</v>
      </c>
    </row>
    <row r="34" spans="15:43" x14ac:dyDescent="0.25">
      <c r="O34" s="1" t="s">
        <v>49</v>
      </c>
      <c r="AQ34" s="12" t="s">
        <v>72</v>
      </c>
    </row>
    <row r="35" spans="15:43" x14ac:dyDescent="0.25">
      <c r="O35" s="1" t="s">
        <v>50</v>
      </c>
      <c r="AQ35" s="12" t="s">
        <v>73</v>
      </c>
    </row>
    <row r="36" spans="15:43" x14ac:dyDescent="0.25">
      <c r="AQ36" s="12" t="s">
        <v>74</v>
      </c>
    </row>
    <row r="37" spans="15:43" x14ac:dyDescent="0.25">
      <c r="O37" s="46" t="s">
        <v>51</v>
      </c>
      <c r="P37" s="46"/>
      <c r="Q37" s="46"/>
      <c r="R37" s="46"/>
      <c r="S37" s="46"/>
      <c r="T37" s="46"/>
      <c r="U37" s="46"/>
      <c r="V37" s="46"/>
      <c r="W37" s="46"/>
      <c r="X37" s="46"/>
      <c r="Y37" s="46"/>
      <c r="Z37" s="46"/>
      <c r="AA37" s="46"/>
      <c r="AB37" s="46"/>
      <c r="AQ37" s="12" t="s">
        <v>75</v>
      </c>
    </row>
    <row r="38" spans="15:43" x14ac:dyDescent="0.25">
      <c r="O38" s="46"/>
      <c r="P38" s="46"/>
      <c r="Q38" s="46"/>
      <c r="R38" s="46"/>
      <c r="S38" s="46"/>
      <c r="T38" s="46"/>
      <c r="U38" s="46"/>
      <c r="V38" s="46"/>
      <c r="W38" s="46"/>
      <c r="X38" s="46"/>
      <c r="Y38" s="46"/>
      <c r="Z38" s="46"/>
      <c r="AA38" s="46"/>
      <c r="AB38" s="46"/>
    </row>
    <row r="39" spans="15:43" x14ac:dyDescent="0.25">
      <c r="O39" s="1" t="s">
        <v>52</v>
      </c>
    </row>
    <row r="40" spans="15:43" x14ac:dyDescent="0.25">
      <c r="O40" s="1" t="s">
        <v>53</v>
      </c>
    </row>
    <row r="41" spans="15:43" x14ac:dyDescent="0.25">
      <c r="O41" s="1" t="s">
        <v>54</v>
      </c>
    </row>
    <row r="42" spans="15:43" x14ac:dyDescent="0.25">
      <c r="O42" s="1" t="s">
        <v>55</v>
      </c>
    </row>
    <row r="43" spans="15:43" x14ac:dyDescent="0.25">
      <c r="O43" s="1" t="s">
        <v>56</v>
      </c>
    </row>
    <row r="45" spans="15:43" x14ac:dyDescent="0.25">
      <c r="O45" s="46" t="s">
        <v>69</v>
      </c>
      <c r="P45" s="46"/>
      <c r="Q45" s="46"/>
      <c r="R45" s="46"/>
      <c r="S45" s="46"/>
      <c r="T45" s="46"/>
      <c r="U45" s="46"/>
      <c r="V45" s="46"/>
      <c r="W45" s="46"/>
      <c r="X45" s="46"/>
      <c r="Y45" s="46"/>
      <c r="Z45" s="46"/>
      <c r="AA45" s="46"/>
      <c r="AB45" s="46"/>
    </row>
    <row r="46" spans="15:43" x14ac:dyDescent="0.25">
      <c r="O46" s="46"/>
      <c r="P46" s="46"/>
      <c r="Q46" s="46"/>
      <c r="R46" s="46"/>
      <c r="S46" s="46"/>
      <c r="T46" s="46"/>
      <c r="U46" s="46"/>
      <c r="V46" s="46"/>
      <c r="W46" s="46"/>
      <c r="X46" s="46"/>
      <c r="Y46" s="46"/>
      <c r="Z46" s="46"/>
      <c r="AA46" s="46"/>
      <c r="AB46" s="46"/>
    </row>
    <row r="47" spans="15:43" x14ac:dyDescent="0.25">
      <c r="O47" s="1" t="s">
        <v>58</v>
      </c>
    </row>
    <row r="48" spans="15:43" x14ac:dyDescent="0.25">
      <c r="O48" s="1" t="s">
        <v>57</v>
      </c>
    </row>
    <row r="50" spans="15:28" x14ac:dyDescent="0.25">
      <c r="O50" s="44" t="s">
        <v>63</v>
      </c>
      <c r="P50" s="44"/>
      <c r="Q50" s="44"/>
      <c r="R50" s="44"/>
      <c r="S50" s="44"/>
      <c r="T50" s="44"/>
      <c r="U50" s="44"/>
      <c r="V50" s="44"/>
      <c r="W50" s="44"/>
      <c r="X50" s="44"/>
      <c r="Y50" s="44"/>
      <c r="Z50" s="44"/>
      <c r="AA50" s="44"/>
      <c r="AB50" s="44"/>
    </row>
    <row r="51" spans="15:28" x14ac:dyDescent="0.25">
      <c r="O51" s="44"/>
      <c r="P51" s="44"/>
      <c r="Q51" s="44"/>
      <c r="R51" s="44"/>
      <c r="S51" s="44"/>
      <c r="T51" s="44"/>
      <c r="U51" s="44"/>
      <c r="V51" s="44"/>
      <c r="W51" s="44"/>
      <c r="X51" s="44"/>
      <c r="Y51" s="44"/>
      <c r="Z51" s="44"/>
      <c r="AA51" s="44"/>
      <c r="AB51" s="44"/>
    </row>
    <row r="52" spans="15:28" x14ac:dyDescent="0.25">
      <c r="O52" s="45" t="s">
        <v>64</v>
      </c>
      <c r="P52" s="45"/>
      <c r="Q52" s="45"/>
      <c r="R52" s="45"/>
      <c r="S52" s="45"/>
      <c r="T52" s="45"/>
      <c r="U52" s="45"/>
      <c r="V52" s="45"/>
      <c r="W52" s="45"/>
      <c r="X52" s="45"/>
      <c r="Y52" s="45"/>
      <c r="Z52" s="45"/>
      <c r="AA52" s="45"/>
      <c r="AB52" s="45"/>
    </row>
    <row r="53" spans="15:28" x14ac:dyDescent="0.25">
      <c r="O53" s="45"/>
      <c r="P53" s="45"/>
      <c r="Q53" s="45"/>
      <c r="R53" s="45"/>
      <c r="S53" s="45"/>
      <c r="T53" s="45"/>
      <c r="U53" s="45"/>
      <c r="V53" s="45"/>
      <c r="W53" s="45"/>
      <c r="X53" s="45"/>
      <c r="Y53" s="45"/>
      <c r="Z53" s="45"/>
      <c r="AA53" s="45"/>
      <c r="AB53" s="45"/>
    </row>
    <row r="54" spans="15:28" x14ac:dyDescent="0.25">
      <c r="O54" s="45"/>
      <c r="P54" s="45"/>
      <c r="Q54" s="45"/>
      <c r="R54" s="45"/>
      <c r="S54" s="45"/>
      <c r="T54" s="45"/>
      <c r="U54" s="45"/>
      <c r="V54" s="45"/>
      <c r="W54" s="45"/>
      <c r="X54" s="45"/>
      <c r="Y54" s="45"/>
      <c r="Z54" s="45"/>
      <c r="AA54" s="45"/>
      <c r="AB54" s="45"/>
    </row>
    <row r="55" spans="15:28" x14ac:dyDescent="0.25">
      <c r="O55" s="45"/>
      <c r="P55" s="45"/>
      <c r="Q55" s="45"/>
      <c r="R55" s="45"/>
      <c r="S55" s="45"/>
      <c r="T55" s="45"/>
      <c r="U55" s="45"/>
      <c r="V55" s="45"/>
      <c r="W55" s="45"/>
      <c r="X55" s="45"/>
      <c r="Y55" s="45"/>
      <c r="Z55" s="45"/>
      <c r="AA55" s="45"/>
      <c r="AB55" s="45"/>
    </row>
    <row r="57" spans="15:28" x14ac:dyDescent="0.25">
      <c r="O57" s="10" t="s">
        <v>71</v>
      </c>
    </row>
  </sheetData>
  <sheetProtection algorithmName="SHA-512" hashValue="eVRi250UDZP/Q+eGb9D1OCXYOC9E3Up7gthlFsdJlVlR4yyCdQAULBB2+ZZ3nwcfXqlH2ebSNDitT8cMxVChJg==" saltValue="bvBn2h+4XC8x1ySWa5Mzjw==" spinCount="100000" sheet="1" objects="1" scenarios="1"/>
  <mergeCells count="12">
    <mergeCell ref="A1:N2"/>
    <mergeCell ref="O1:AB2"/>
    <mergeCell ref="O3:AB6"/>
    <mergeCell ref="O9:AB10"/>
    <mergeCell ref="O45:AB46"/>
    <mergeCell ref="O50:AB51"/>
    <mergeCell ref="O52:AB55"/>
    <mergeCell ref="O15:AB16"/>
    <mergeCell ref="O21:AB22"/>
    <mergeCell ref="O26:AB27"/>
    <mergeCell ref="O28:AB31"/>
    <mergeCell ref="O37:AB38"/>
  </mergeCells>
  <hyperlinks>
    <hyperlink ref="A1:N2" location="Sheet1!A1" display="საზოგადოებაში შეძენილიი პნევმონიის ემპირიული ანტიბიოტიკოთერაპია ზოგად თერაპიულ განყოფილებაში" xr:uid="{D0D29BCF-6EBB-4E5C-A0C7-69D731EDF56A}"/>
  </hyperlinks>
  <pageMargins left="0.7" right="0.7" top="0.75" bottom="0.75" header="0.3" footer="0.3"/>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2</xdr:col>
                    <xdr:colOff>9525</xdr:colOff>
                    <xdr:row>3</xdr:row>
                    <xdr:rowOff>9525</xdr:rowOff>
                  </from>
                  <to>
                    <xdr:col>13</xdr:col>
                    <xdr:colOff>628650</xdr:colOff>
                    <xdr:row>4</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409575</xdr:colOff>
                    <xdr:row>5</xdr:row>
                    <xdr:rowOff>180975</xdr:rowOff>
                  </from>
                  <to>
                    <xdr:col>1</xdr:col>
                    <xdr:colOff>533400</xdr:colOff>
                    <xdr:row>7</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409575</xdr:colOff>
                    <xdr:row>6</xdr:row>
                    <xdr:rowOff>180975</xdr:rowOff>
                  </from>
                  <to>
                    <xdr:col>1</xdr:col>
                    <xdr:colOff>533400</xdr:colOff>
                    <xdr:row>8</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0</xdr:col>
                    <xdr:colOff>409575</xdr:colOff>
                    <xdr:row>7</xdr:row>
                    <xdr:rowOff>180975</xdr:rowOff>
                  </from>
                  <to>
                    <xdr:col>1</xdr:col>
                    <xdr:colOff>533400</xdr:colOff>
                    <xdr:row>9</xdr:row>
                    <xdr:rowOff>9525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0</xdr:col>
                    <xdr:colOff>409575</xdr:colOff>
                    <xdr:row>8</xdr:row>
                    <xdr:rowOff>180975</xdr:rowOff>
                  </from>
                  <to>
                    <xdr:col>1</xdr:col>
                    <xdr:colOff>533400</xdr:colOff>
                    <xdr:row>10</xdr:row>
                    <xdr:rowOff>9525</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409575</xdr:colOff>
                    <xdr:row>10</xdr:row>
                    <xdr:rowOff>19050</xdr:rowOff>
                  </from>
                  <to>
                    <xdr:col>1</xdr:col>
                    <xdr:colOff>533400</xdr:colOff>
                    <xdr:row>11</xdr:row>
                    <xdr:rowOff>38100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409575</xdr:colOff>
                    <xdr:row>11</xdr:row>
                    <xdr:rowOff>19050</xdr:rowOff>
                  </from>
                  <to>
                    <xdr:col>1</xdr:col>
                    <xdr:colOff>533400</xdr:colOff>
                    <xdr:row>12</xdr:row>
                    <xdr:rowOff>38100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409575</xdr:colOff>
                    <xdr:row>12</xdr:row>
                    <xdr:rowOff>19050</xdr:rowOff>
                  </from>
                  <to>
                    <xdr:col>1</xdr:col>
                    <xdr:colOff>533400</xdr:colOff>
                    <xdr:row>13</xdr:row>
                    <xdr:rowOff>38100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409575</xdr:colOff>
                    <xdr:row>13</xdr:row>
                    <xdr:rowOff>19050</xdr:rowOff>
                  </from>
                  <to>
                    <xdr:col>1</xdr:col>
                    <xdr:colOff>533400</xdr:colOff>
                    <xdr:row>14</xdr:row>
                    <xdr:rowOff>38100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0</xdr:col>
                    <xdr:colOff>409575</xdr:colOff>
                    <xdr:row>14</xdr:row>
                    <xdr:rowOff>19050</xdr:rowOff>
                  </from>
                  <to>
                    <xdr:col>1</xdr:col>
                    <xdr:colOff>533400</xdr:colOff>
                    <xdr:row>15</xdr:row>
                    <xdr:rowOff>38100</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0</xdr:col>
                    <xdr:colOff>409575</xdr:colOff>
                    <xdr:row>15</xdr:row>
                    <xdr:rowOff>19050</xdr:rowOff>
                  </from>
                  <to>
                    <xdr:col>1</xdr:col>
                    <xdr:colOff>533400</xdr:colOff>
                    <xdr:row>16</xdr:row>
                    <xdr:rowOff>38100</xdr:rowOff>
                  </to>
                </anchor>
              </controlPr>
            </control>
          </mc:Choice>
        </mc:AlternateContent>
        <mc:AlternateContent xmlns:mc="http://schemas.openxmlformats.org/markup-compatibility/2006">
          <mc:Choice Requires="x14">
            <control shapeId="4110" r:id="rId15" name="Check Box 14">
              <controlPr defaultSize="0" autoFill="0" autoLine="0" autoPict="0">
                <anchor moveWithCells="1">
                  <from>
                    <xdr:col>0</xdr:col>
                    <xdr:colOff>409575</xdr:colOff>
                    <xdr:row>16</xdr:row>
                    <xdr:rowOff>19050</xdr:rowOff>
                  </from>
                  <to>
                    <xdr:col>1</xdr:col>
                    <xdr:colOff>533400</xdr:colOff>
                    <xdr:row>17</xdr:row>
                    <xdr:rowOff>38100</xdr:rowOff>
                  </to>
                </anchor>
              </controlPr>
            </control>
          </mc:Choice>
        </mc:AlternateContent>
        <mc:AlternateContent xmlns:mc="http://schemas.openxmlformats.org/markup-compatibility/2006">
          <mc:Choice Requires="x14">
            <control shapeId="4111" r:id="rId16" name="Check Box 15">
              <controlPr defaultSize="0" autoFill="0" autoLine="0" autoPict="0">
                <anchor moveWithCells="1">
                  <from>
                    <xdr:col>0</xdr:col>
                    <xdr:colOff>409575</xdr:colOff>
                    <xdr:row>17</xdr:row>
                    <xdr:rowOff>19050</xdr:rowOff>
                  </from>
                  <to>
                    <xdr:col>1</xdr:col>
                    <xdr:colOff>533400</xdr:colOff>
                    <xdr:row>18</xdr:row>
                    <xdr:rowOff>38100</xdr:rowOff>
                  </to>
                </anchor>
              </controlPr>
            </control>
          </mc:Choice>
        </mc:AlternateContent>
        <mc:AlternateContent xmlns:mc="http://schemas.openxmlformats.org/markup-compatibility/2006">
          <mc:Choice Requires="x14">
            <control shapeId="4112" r:id="rId17" name="Check Box 16">
              <controlPr defaultSize="0" autoFill="0" autoLine="0" autoPict="0">
                <anchor moveWithCells="1">
                  <from>
                    <xdr:col>0</xdr:col>
                    <xdr:colOff>409575</xdr:colOff>
                    <xdr:row>18</xdr:row>
                    <xdr:rowOff>28575</xdr:rowOff>
                  </from>
                  <to>
                    <xdr:col>1</xdr:col>
                    <xdr:colOff>533400</xdr:colOff>
                    <xdr:row>19</xdr:row>
                    <xdr:rowOff>47625</xdr:rowOff>
                  </to>
                </anchor>
              </controlPr>
            </control>
          </mc:Choice>
        </mc:AlternateContent>
        <mc:AlternateContent xmlns:mc="http://schemas.openxmlformats.org/markup-compatibility/2006">
          <mc:Choice Requires="x14">
            <control shapeId="4113" r:id="rId18" name="Check Box 17">
              <controlPr defaultSize="0" autoFill="0" autoLine="0" autoPict="0">
                <anchor moveWithCells="1">
                  <from>
                    <xdr:col>0</xdr:col>
                    <xdr:colOff>409575</xdr:colOff>
                    <xdr:row>19</xdr:row>
                    <xdr:rowOff>28575</xdr:rowOff>
                  </from>
                  <to>
                    <xdr:col>1</xdr:col>
                    <xdr:colOff>533400</xdr:colOff>
                    <xdr:row>20</xdr:row>
                    <xdr:rowOff>47625</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0</xdr:col>
                    <xdr:colOff>409575</xdr:colOff>
                    <xdr:row>20</xdr:row>
                    <xdr:rowOff>28575</xdr:rowOff>
                  </from>
                  <to>
                    <xdr:col>1</xdr:col>
                    <xdr:colOff>533400</xdr:colOff>
                    <xdr:row>21</xdr:row>
                    <xdr:rowOff>47625</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0</xdr:col>
                    <xdr:colOff>409575</xdr:colOff>
                    <xdr:row>21</xdr:row>
                    <xdr:rowOff>28575</xdr:rowOff>
                  </from>
                  <to>
                    <xdr:col>1</xdr:col>
                    <xdr:colOff>533400</xdr:colOff>
                    <xdr:row>22</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987CF-9D31-40FE-9B22-029E36A3CF4C}">
  <dimension ref="A1:N37"/>
  <sheetViews>
    <sheetView workbookViewId="0">
      <selection activeCell="T28" sqref="T28"/>
    </sheetView>
  </sheetViews>
  <sheetFormatPr defaultColWidth="9" defaultRowHeight="15" x14ac:dyDescent="0.25"/>
  <cols>
    <col min="1" max="16384" width="9" style="1"/>
  </cols>
  <sheetData>
    <row r="1" spans="1:14" x14ac:dyDescent="0.25">
      <c r="A1" s="50" t="s">
        <v>78</v>
      </c>
      <c r="B1" s="50"/>
      <c r="C1" s="50"/>
      <c r="D1" s="50"/>
      <c r="E1" s="50"/>
      <c r="F1" s="50"/>
      <c r="G1" s="50"/>
      <c r="H1" s="50"/>
      <c r="I1" s="50"/>
      <c r="J1" s="50"/>
      <c r="K1" s="50"/>
      <c r="L1" s="50"/>
      <c r="M1" s="50"/>
      <c r="N1" s="50"/>
    </row>
    <row r="2" spans="1:14" x14ac:dyDescent="0.25">
      <c r="A2" s="50"/>
      <c r="B2" s="50"/>
      <c r="C2" s="50"/>
      <c r="D2" s="50"/>
      <c r="E2" s="50"/>
      <c r="F2" s="50"/>
      <c r="G2" s="50"/>
      <c r="H2" s="50"/>
      <c r="I2" s="50"/>
      <c r="J2" s="50"/>
      <c r="K2" s="50"/>
      <c r="L2" s="50"/>
      <c r="M2" s="50"/>
      <c r="N2" s="50"/>
    </row>
    <row r="3" spans="1:14" x14ac:dyDescent="0.25">
      <c r="G3" s="15"/>
    </row>
    <row r="4" spans="1:14" x14ac:dyDescent="0.25">
      <c r="A4" s="1" t="s">
        <v>79</v>
      </c>
    </row>
    <row r="5" spans="1:14" x14ac:dyDescent="0.25">
      <c r="A5" s="1" t="s">
        <v>80</v>
      </c>
    </row>
    <row r="6" spans="1:14" x14ac:dyDescent="0.25">
      <c r="B6" s="1" t="s">
        <v>81</v>
      </c>
    </row>
    <row r="7" spans="1:14" x14ac:dyDescent="0.25">
      <c r="B7" s="1" t="s">
        <v>262</v>
      </c>
    </row>
    <row r="8" spans="1:14" x14ac:dyDescent="0.25">
      <c r="B8" s="1" t="s">
        <v>84</v>
      </c>
    </row>
    <row r="9" spans="1:14" x14ac:dyDescent="0.25">
      <c r="B9" s="16" t="s">
        <v>82</v>
      </c>
    </row>
    <row r="10" spans="1:14" x14ac:dyDescent="0.25">
      <c r="B10" s="1" t="s">
        <v>83</v>
      </c>
    </row>
    <row r="11" spans="1:14" x14ac:dyDescent="0.25">
      <c r="B11" s="1" t="s">
        <v>263</v>
      </c>
    </row>
    <row r="12" spans="1:14" x14ac:dyDescent="0.25">
      <c r="B12" s="1" t="s">
        <v>85</v>
      </c>
    </row>
    <row r="13" spans="1:14" x14ac:dyDescent="0.25">
      <c r="B13" s="16" t="s">
        <v>86</v>
      </c>
    </row>
    <row r="14" spans="1:14" x14ac:dyDescent="0.25">
      <c r="A14" s="1" t="s">
        <v>87</v>
      </c>
    </row>
    <row r="15" spans="1:14" x14ac:dyDescent="0.25">
      <c r="A15" s="1" t="s">
        <v>88</v>
      </c>
    </row>
    <row r="16" spans="1:14" x14ac:dyDescent="0.25">
      <c r="A16" s="16" t="s">
        <v>89</v>
      </c>
    </row>
    <row r="17" spans="1:14" x14ac:dyDescent="0.25">
      <c r="A17" s="1" t="s">
        <v>90</v>
      </c>
    </row>
    <row r="18" spans="1:14" x14ac:dyDescent="0.25">
      <c r="A18" s="1" t="s">
        <v>91</v>
      </c>
    </row>
    <row r="20" spans="1:14" x14ac:dyDescent="0.25">
      <c r="A20" s="49" t="s">
        <v>92</v>
      </c>
      <c r="B20" s="45"/>
      <c r="C20" s="45"/>
      <c r="D20" s="45"/>
      <c r="E20" s="45"/>
      <c r="F20" s="45"/>
      <c r="G20" s="45"/>
      <c r="H20" s="45"/>
      <c r="I20" s="45"/>
      <c r="J20" s="45"/>
      <c r="K20" s="45"/>
      <c r="L20" s="45"/>
      <c r="M20" s="45"/>
      <c r="N20" s="45"/>
    </row>
    <row r="21" spans="1:14" x14ac:dyDescent="0.25">
      <c r="A21" s="45"/>
      <c r="B21" s="45"/>
      <c r="C21" s="45"/>
      <c r="D21" s="45"/>
      <c r="E21" s="45"/>
      <c r="F21" s="45"/>
      <c r="G21" s="45"/>
      <c r="H21" s="45"/>
      <c r="I21" s="45"/>
      <c r="J21" s="45"/>
      <c r="K21" s="45"/>
      <c r="L21" s="45"/>
      <c r="M21" s="45"/>
      <c r="N21" s="45"/>
    </row>
    <row r="22" spans="1:14" x14ac:dyDescent="0.25">
      <c r="A22" s="45"/>
      <c r="B22" s="45"/>
      <c r="C22" s="45"/>
      <c r="D22" s="45"/>
      <c r="E22" s="45"/>
      <c r="F22" s="45"/>
      <c r="G22" s="45"/>
      <c r="H22" s="45"/>
      <c r="I22" s="45"/>
      <c r="J22" s="45"/>
      <c r="K22" s="45"/>
      <c r="L22" s="45"/>
      <c r="M22" s="45"/>
      <c r="N22" s="45"/>
    </row>
    <row r="24" spans="1:14" ht="15" customHeight="1" x14ac:dyDescent="0.25">
      <c r="A24" s="51" t="s">
        <v>93</v>
      </c>
      <c r="B24" s="51"/>
      <c r="C24" s="51"/>
      <c r="D24" s="51"/>
      <c r="E24" s="51"/>
      <c r="F24" s="51"/>
      <c r="G24" s="51"/>
      <c r="H24" s="51"/>
      <c r="I24" s="51"/>
      <c r="J24" s="51"/>
      <c r="K24" s="51"/>
      <c r="L24" s="51"/>
      <c r="M24" s="51"/>
      <c r="N24" s="51"/>
    </row>
    <row r="25" spans="1:14" x14ac:dyDescent="0.25">
      <c r="A25" s="51"/>
      <c r="B25" s="51"/>
      <c r="C25" s="51"/>
      <c r="D25" s="51"/>
      <c r="E25" s="51"/>
      <c r="F25" s="51"/>
      <c r="G25" s="51"/>
      <c r="H25" s="51"/>
      <c r="I25" s="51"/>
      <c r="J25" s="51"/>
      <c r="K25" s="51"/>
      <c r="L25" s="51"/>
      <c r="M25" s="51"/>
      <c r="N25" s="51"/>
    </row>
    <row r="26" spans="1:14" x14ac:dyDescent="0.25">
      <c r="A26" s="51"/>
      <c r="B26" s="51"/>
      <c r="C26" s="51"/>
      <c r="D26" s="51"/>
      <c r="E26" s="51"/>
      <c r="F26" s="51"/>
      <c r="G26" s="51"/>
      <c r="H26" s="51"/>
      <c r="I26" s="51"/>
      <c r="J26" s="51"/>
      <c r="K26" s="51"/>
      <c r="L26" s="51"/>
      <c r="M26" s="51"/>
      <c r="N26" s="51"/>
    </row>
    <row r="27" spans="1:14" x14ac:dyDescent="0.25">
      <c r="A27" s="51"/>
      <c r="B27" s="51"/>
      <c r="C27" s="51"/>
      <c r="D27" s="51"/>
      <c r="E27" s="51"/>
      <c r="F27" s="51"/>
      <c r="G27" s="51"/>
      <c r="H27" s="51"/>
      <c r="I27" s="51"/>
      <c r="J27" s="51"/>
      <c r="K27" s="51"/>
      <c r="L27" s="51"/>
      <c r="M27" s="51"/>
      <c r="N27" s="51"/>
    </row>
    <row r="28" spans="1:14" x14ac:dyDescent="0.25">
      <c r="A28" s="51"/>
      <c r="B28" s="51"/>
      <c r="C28" s="51"/>
      <c r="D28" s="51"/>
      <c r="E28" s="51"/>
      <c r="F28" s="51"/>
      <c r="G28" s="51"/>
      <c r="H28" s="51"/>
      <c r="I28" s="51"/>
      <c r="J28" s="51"/>
      <c r="K28" s="51"/>
      <c r="L28" s="51"/>
      <c r="M28" s="51"/>
      <c r="N28" s="51"/>
    </row>
    <row r="30" spans="1:14" ht="15" customHeight="1" x14ac:dyDescent="0.25">
      <c r="A30" s="52" t="s">
        <v>94</v>
      </c>
      <c r="B30" s="52"/>
      <c r="C30" s="52"/>
      <c r="D30" s="52"/>
      <c r="E30" s="52"/>
      <c r="F30" s="52"/>
      <c r="G30" s="52"/>
      <c r="H30" s="52"/>
      <c r="I30" s="52"/>
      <c r="J30" s="52"/>
      <c r="K30" s="52"/>
      <c r="L30" s="52"/>
      <c r="M30" s="52"/>
      <c r="N30" s="52"/>
    </row>
    <row r="31" spans="1:14" x14ac:dyDescent="0.25">
      <c r="A31" s="52"/>
      <c r="B31" s="52"/>
      <c r="C31" s="52"/>
      <c r="D31" s="52"/>
      <c r="E31" s="52"/>
      <c r="F31" s="52"/>
      <c r="G31" s="52"/>
      <c r="H31" s="52"/>
      <c r="I31" s="52"/>
      <c r="J31" s="52"/>
      <c r="K31" s="52"/>
      <c r="L31" s="52"/>
      <c r="M31" s="52"/>
      <c r="N31" s="52"/>
    </row>
    <row r="32" spans="1:14" x14ac:dyDescent="0.25">
      <c r="A32" s="52"/>
      <c r="B32" s="52"/>
      <c r="C32" s="52"/>
      <c r="D32" s="52"/>
      <c r="E32" s="52"/>
      <c r="F32" s="52"/>
      <c r="G32" s="52"/>
      <c r="H32" s="52"/>
      <c r="I32" s="52"/>
      <c r="J32" s="52"/>
      <c r="K32" s="52"/>
      <c r="L32" s="52"/>
      <c r="M32" s="52"/>
      <c r="N32" s="52"/>
    </row>
    <row r="33" spans="1:14" x14ac:dyDescent="0.25">
      <c r="A33" s="52"/>
      <c r="B33" s="52"/>
      <c r="C33" s="52"/>
      <c r="D33" s="52"/>
      <c r="E33" s="52"/>
      <c r="F33" s="52"/>
      <c r="G33" s="52"/>
      <c r="H33" s="52"/>
      <c r="I33" s="52"/>
      <c r="J33" s="52"/>
      <c r="K33" s="52"/>
      <c r="L33" s="52"/>
      <c r="M33" s="52"/>
      <c r="N33" s="52"/>
    </row>
    <row r="34" spans="1:14" x14ac:dyDescent="0.25">
      <c r="A34" s="17"/>
      <c r="B34" s="17"/>
      <c r="C34" s="17"/>
      <c r="D34" s="17"/>
      <c r="E34" s="17"/>
      <c r="F34" s="17"/>
      <c r="G34" s="17"/>
      <c r="H34" s="17"/>
      <c r="I34" s="17"/>
      <c r="J34" s="17"/>
      <c r="K34" s="17"/>
      <c r="L34" s="17"/>
      <c r="M34" s="17"/>
      <c r="N34" s="17"/>
    </row>
    <row r="35" spans="1:14" x14ac:dyDescent="0.25">
      <c r="A35" s="49" t="s">
        <v>95</v>
      </c>
      <c r="B35" s="49"/>
      <c r="C35" s="49"/>
      <c r="D35" s="49"/>
      <c r="E35" s="49"/>
      <c r="F35" s="49"/>
      <c r="G35" s="49"/>
      <c r="H35" s="49"/>
      <c r="I35" s="49"/>
      <c r="J35" s="49"/>
      <c r="K35" s="49"/>
      <c r="L35" s="49"/>
      <c r="M35" s="49"/>
      <c r="N35" s="49"/>
    </row>
    <row r="36" spans="1:14" x14ac:dyDescent="0.25">
      <c r="A36" s="49"/>
      <c r="B36" s="49"/>
      <c r="C36" s="49"/>
      <c r="D36" s="49"/>
      <c r="E36" s="49"/>
      <c r="F36" s="49"/>
      <c r="G36" s="49"/>
      <c r="H36" s="49"/>
      <c r="I36" s="49"/>
      <c r="J36" s="49"/>
      <c r="K36" s="49"/>
      <c r="L36" s="49"/>
      <c r="M36" s="49"/>
      <c r="N36" s="49"/>
    </row>
    <row r="37" spans="1:14" x14ac:dyDescent="0.25">
      <c r="A37" s="49"/>
      <c r="B37" s="49"/>
      <c r="C37" s="49"/>
      <c r="D37" s="49"/>
      <c r="E37" s="49"/>
      <c r="F37" s="49"/>
      <c r="G37" s="49"/>
      <c r="H37" s="49"/>
      <c r="I37" s="49"/>
      <c r="J37" s="49"/>
      <c r="K37" s="49"/>
      <c r="L37" s="49"/>
      <c r="M37" s="49"/>
      <c r="N37" s="49"/>
    </row>
  </sheetData>
  <sheetProtection algorithmName="SHA-512" hashValue="sYPSfsyZujAonKRMJ+yfCj9BQCp+8xNtQY/cZnCF71js+YUte1iWFal74lhZbLC8vTKuUhFi+ft9nQVztXQ6jA==" saltValue="oeezCZ168gH4tikE9oK59Q==" spinCount="100000" sheet="1" objects="1" scenarios="1"/>
  <mergeCells count="5">
    <mergeCell ref="A35:N37"/>
    <mergeCell ref="A1:N2"/>
    <mergeCell ref="A20:N22"/>
    <mergeCell ref="A24:N28"/>
    <mergeCell ref="A30:N33"/>
  </mergeCells>
  <hyperlinks>
    <hyperlink ref="A1:N2" location="Sheet1!A1" display="პენცილინზე ალერგიის მქონე პაციენტის ანტიბიოტიკოთერაპია" xr:uid="{9FB07E40-4041-475F-81C3-9A7F0D359051}"/>
  </hyperlinks>
  <pageMargins left="0.7" right="0.7" top="0.75" bottom="0.75" header="0.3" footer="0.3"/>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6E57E-5E9A-481D-B98B-8BF61E02292B}">
  <dimension ref="A1:AQ57"/>
  <sheetViews>
    <sheetView workbookViewId="0">
      <selection activeCell="AD32" sqref="AD32"/>
    </sheetView>
  </sheetViews>
  <sheetFormatPr defaultColWidth="9" defaultRowHeight="15" x14ac:dyDescent="0.25"/>
  <cols>
    <col min="1" max="13" width="9" style="1"/>
    <col min="14" max="14" width="9" style="6"/>
    <col min="15" max="28" width="9" style="1"/>
    <col min="29" max="43" width="9" style="12"/>
    <col min="44" max="16384" width="9" style="1"/>
  </cols>
  <sheetData>
    <row r="1" spans="1:43" x14ac:dyDescent="0.25">
      <c r="A1" s="48" t="s">
        <v>97</v>
      </c>
      <c r="B1" s="48"/>
      <c r="C1" s="48"/>
      <c r="D1" s="48"/>
      <c r="E1" s="48"/>
      <c r="F1" s="48"/>
      <c r="G1" s="48"/>
      <c r="H1" s="48"/>
      <c r="I1" s="48"/>
      <c r="J1" s="48"/>
      <c r="K1" s="48"/>
      <c r="L1" s="48"/>
      <c r="M1" s="48"/>
      <c r="N1" s="48"/>
      <c r="O1" s="46" t="s">
        <v>34</v>
      </c>
      <c r="P1" s="46"/>
      <c r="Q1" s="46"/>
      <c r="R1" s="46"/>
      <c r="S1" s="46"/>
      <c r="T1" s="46"/>
      <c r="U1" s="46"/>
      <c r="V1" s="46"/>
      <c r="W1" s="46"/>
      <c r="X1" s="46"/>
      <c r="Y1" s="46"/>
      <c r="Z1" s="46"/>
      <c r="AA1" s="46"/>
      <c r="AB1" s="46"/>
    </row>
    <row r="2" spans="1:43" x14ac:dyDescent="0.25">
      <c r="A2" s="48"/>
      <c r="B2" s="48"/>
      <c r="C2" s="48"/>
      <c r="D2" s="48"/>
      <c r="E2" s="48"/>
      <c r="F2" s="48"/>
      <c r="G2" s="48"/>
      <c r="H2" s="48"/>
      <c r="I2" s="48"/>
      <c r="J2" s="48"/>
      <c r="K2" s="48"/>
      <c r="L2" s="48"/>
      <c r="M2" s="48"/>
      <c r="N2" s="48"/>
      <c r="O2" s="46"/>
      <c r="P2" s="46"/>
      <c r="Q2" s="46"/>
      <c r="R2" s="46"/>
      <c r="S2" s="46"/>
      <c r="T2" s="46"/>
      <c r="U2" s="46"/>
      <c r="V2" s="46"/>
      <c r="W2" s="46"/>
      <c r="X2" s="46"/>
      <c r="Y2" s="46"/>
      <c r="Z2" s="46"/>
      <c r="AA2" s="46"/>
      <c r="AB2" s="46"/>
      <c r="AQ2" s="12" t="s">
        <v>25</v>
      </c>
    </row>
    <row r="3" spans="1:43" ht="15" customHeight="1" x14ac:dyDescent="0.25">
      <c r="C3" s="11"/>
      <c r="O3" s="47" t="s">
        <v>260</v>
      </c>
      <c r="P3" s="47"/>
      <c r="Q3" s="47"/>
      <c r="R3" s="47"/>
      <c r="S3" s="47"/>
      <c r="T3" s="47"/>
      <c r="U3" s="47"/>
      <c r="V3" s="47"/>
      <c r="W3" s="47"/>
      <c r="X3" s="47"/>
      <c r="Y3" s="47"/>
      <c r="Z3" s="47"/>
      <c r="AA3" s="47"/>
      <c r="AB3" s="47"/>
      <c r="AQ3" s="12" t="s">
        <v>26</v>
      </c>
    </row>
    <row r="4" spans="1:43" x14ac:dyDescent="0.25">
      <c r="A4" s="1" t="s">
        <v>27</v>
      </c>
      <c r="C4" s="11">
        <v>1</v>
      </c>
      <c r="O4" s="47"/>
      <c r="P4" s="47"/>
      <c r="Q4" s="47"/>
      <c r="R4" s="47"/>
      <c r="S4" s="47"/>
      <c r="T4" s="47"/>
      <c r="U4" s="47"/>
      <c r="V4" s="47"/>
      <c r="W4" s="47"/>
      <c r="X4" s="47"/>
      <c r="Y4" s="47"/>
      <c r="Z4" s="47"/>
      <c r="AA4" s="47"/>
      <c r="AB4" s="47"/>
    </row>
    <row r="5" spans="1:43" x14ac:dyDescent="0.25">
      <c r="O5" s="47"/>
      <c r="P5" s="47"/>
      <c r="Q5" s="47"/>
      <c r="R5" s="47"/>
      <c r="S5" s="47"/>
      <c r="T5" s="47"/>
      <c r="U5" s="47"/>
      <c r="V5" s="47"/>
      <c r="W5" s="47"/>
      <c r="X5" s="47"/>
      <c r="Y5" s="47"/>
      <c r="Z5" s="47"/>
      <c r="AA5" s="47"/>
      <c r="AB5" s="47"/>
      <c r="AQ5" s="12" t="s">
        <v>28</v>
      </c>
    </row>
    <row r="6" spans="1:43" x14ac:dyDescent="0.25">
      <c r="A6" s="1" t="str">
        <f>IF(C4=2,"მონიშნეთ არსებული რისკ-ფაქტორები:","")</f>
        <v/>
      </c>
      <c r="O6" s="47"/>
      <c r="P6" s="47"/>
      <c r="Q6" s="47"/>
      <c r="R6" s="47"/>
      <c r="S6" s="47"/>
      <c r="T6" s="47"/>
      <c r="U6" s="47"/>
      <c r="V6" s="47"/>
      <c r="W6" s="47"/>
      <c r="X6" s="47"/>
      <c r="Y6" s="47"/>
      <c r="Z6" s="47"/>
      <c r="AA6" s="47"/>
      <c r="AB6" s="47"/>
      <c r="AQ6" s="12" t="s">
        <v>29</v>
      </c>
    </row>
    <row r="7" spans="1:43" x14ac:dyDescent="0.25">
      <c r="B7" s="1" t="str">
        <f>IF(C4=2,"- დადასტურებული ან გადატანილი MRSA ინფექცია",IF(C4=3,"- დადასტურებული ან გადატანილი MRSA ინფექცია",""))</f>
        <v/>
      </c>
      <c r="O7" s="1" t="s">
        <v>46</v>
      </c>
      <c r="AC7" s="13" t="b">
        <v>0</v>
      </c>
    </row>
    <row r="8" spans="1:43" x14ac:dyDescent="0.25">
      <c r="B8" s="1" t="str">
        <f>IF(C4=2,"- ნახველში გრამ-დადებითი კოკები",IF(C4=3,"- ნახველში გრამ-დადებითი კოკები",""))</f>
        <v/>
      </c>
      <c r="AC8" s="13" t="b">
        <v>0</v>
      </c>
    </row>
    <row r="9" spans="1:43" x14ac:dyDescent="0.25">
      <c r="B9" s="1" t="str">
        <f>IF(C4=2,"- ბოლო 3 თვის განმავლობაში ჰოსპიტალიზაცია ინტრავენური ანტიბიოტიკოთერაპიით",IF(C4=3,"- ბოლო 3 თვის განმავლობაში ჰოსპიტალიზაცია ინტრავენური ანტიბიოტიკოთერაპიით",""))</f>
        <v/>
      </c>
      <c r="O9" s="46" t="s">
        <v>35</v>
      </c>
      <c r="P9" s="46"/>
      <c r="Q9" s="46"/>
      <c r="R9" s="46"/>
      <c r="S9" s="46"/>
      <c r="T9" s="46"/>
      <c r="U9" s="46"/>
      <c r="V9" s="46"/>
      <c r="W9" s="46"/>
      <c r="X9" s="46"/>
      <c r="Y9" s="46"/>
      <c r="Z9" s="46"/>
      <c r="AA9" s="46"/>
      <c r="AB9" s="46"/>
      <c r="AC9" s="13" t="b">
        <v>0</v>
      </c>
    </row>
    <row r="10" spans="1:43" x14ac:dyDescent="0.25">
      <c r="B10" s="1" t="str">
        <f>IF(C4=2,"- ახლადგადატანილი გრიპისმაგვარი ინფექცია",IF(C4=3,"- ახლადგადატანილი გრიპისმაგვარი ინფექცია",""))</f>
        <v/>
      </c>
      <c r="O10" s="46"/>
      <c r="P10" s="46"/>
      <c r="Q10" s="46"/>
      <c r="R10" s="46"/>
      <c r="S10" s="46"/>
      <c r="T10" s="46"/>
      <c r="U10" s="46"/>
      <c r="V10" s="46"/>
      <c r="W10" s="46"/>
      <c r="X10" s="46"/>
      <c r="Y10" s="46"/>
      <c r="Z10" s="46"/>
      <c r="AA10" s="46"/>
      <c r="AB10" s="46"/>
      <c r="AC10" s="13" t="b">
        <v>0</v>
      </c>
    </row>
    <row r="11" spans="1:43" x14ac:dyDescent="0.25">
      <c r="B11" s="1" t="str">
        <f>IF(C4=2,"- მანეკროზებელი ან კავიტაციით  მიმდინარე პნევმონია",IF(C4=3,"- მანეკროზებელი ან კავიტაციით  მიმდინარე პნევმონია",""))</f>
        <v/>
      </c>
      <c r="O11" s="1" t="s">
        <v>36</v>
      </c>
      <c r="AC11" s="13" t="b">
        <v>0</v>
      </c>
    </row>
    <row r="12" spans="1:43" x14ac:dyDescent="0.25">
      <c r="B12" s="1" t="str">
        <f>IF(C4=2,"- ემპიემა",IF(C4=3,"- ემპიემა",""))</f>
        <v/>
      </c>
      <c r="O12" s="1" t="s">
        <v>37</v>
      </c>
      <c r="AC12" s="13" t="b">
        <v>0</v>
      </c>
    </row>
    <row r="13" spans="1:43" x14ac:dyDescent="0.25">
      <c r="B13" s="1" t="str">
        <f>IF(C4=2,"- თირკმლების ტერმინალური დაავადება",IF(C4=3,"- თირკმლების ტერმინალური დაავადება",""))</f>
        <v/>
      </c>
      <c r="O13" s="1" t="s">
        <v>38</v>
      </c>
      <c r="AC13" s="13" t="b">
        <v>0</v>
      </c>
    </row>
    <row r="14" spans="1:43" x14ac:dyDescent="0.25">
      <c r="B14" s="1" t="str">
        <f>IF(C4=2,"- ჰომოსექსუალი მამაკაცი",IF(C4=3,"- ჰომოსექსუალი მამაკაცი",""))</f>
        <v/>
      </c>
      <c r="AC14" s="13" t="b">
        <v>0</v>
      </c>
    </row>
    <row r="15" spans="1:43" x14ac:dyDescent="0.25">
      <c r="B15" s="1" t="str">
        <f>IF(C4=2,"- მჭიდროდ დასახლებულ გარემოში ცხოვრება",IF(C4=3,"- მჭიდროდ დასახლებულ გარემოში ცხოვრება",""))</f>
        <v/>
      </c>
      <c r="O15" s="46" t="s">
        <v>39</v>
      </c>
      <c r="P15" s="46"/>
      <c r="Q15" s="46"/>
      <c r="R15" s="46"/>
      <c r="S15" s="46"/>
      <c r="T15" s="46"/>
      <c r="U15" s="46"/>
      <c r="V15" s="46"/>
      <c r="W15" s="46"/>
      <c r="X15" s="46"/>
      <c r="Y15" s="46"/>
      <c r="Z15" s="46"/>
      <c r="AA15" s="46"/>
      <c r="AB15" s="46"/>
      <c r="AC15" s="13" t="b">
        <v>0</v>
      </c>
    </row>
    <row r="16" spans="1:43" x14ac:dyDescent="0.25">
      <c r="B16" s="1" t="str">
        <f>IF(C4=2,"- ტუსაღობა",IF(C4=3,"- ტუსაღობა",""))</f>
        <v/>
      </c>
      <c r="O16" s="46"/>
      <c r="P16" s="46"/>
      <c r="Q16" s="46"/>
      <c r="R16" s="46"/>
      <c r="S16" s="46"/>
      <c r="T16" s="46"/>
      <c r="U16" s="46"/>
      <c r="V16" s="46"/>
      <c r="W16" s="46"/>
      <c r="X16" s="46"/>
      <c r="Y16" s="46"/>
      <c r="Z16" s="46"/>
      <c r="AA16" s="46"/>
      <c r="AB16" s="46"/>
      <c r="AC16" s="13" t="b">
        <v>0</v>
      </c>
      <c r="AQ16" s="12" t="s">
        <v>30</v>
      </c>
    </row>
    <row r="17" spans="1:43" x14ac:dyDescent="0.25">
      <c r="B17" s="1" t="str">
        <f>IF(C4=2,"- ინტრავენური ნარკომანია",IF(C4=3,"- ინტრავენური ნარკომანია",""))</f>
        <v/>
      </c>
      <c r="O17" s="1" t="s">
        <v>40</v>
      </c>
      <c r="AC17" s="13" t="b">
        <v>0</v>
      </c>
      <c r="AQ17" s="12" t="s">
        <v>31</v>
      </c>
    </row>
    <row r="18" spans="1:43" x14ac:dyDescent="0.25">
      <c r="B18" s="1" t="str">
        <f>IF(C4=2,"- კონტაქტური სპორტის მიმდევრობა",IF(C4=3,"- კონტაქტური სპორტის მიმდევრობა",""))</f>
        <v/>
      </c>
      <c r="O18" s="1" t="s">
        <v>41</v>
      </c>
      <c r="AC18" s="13" t="b">
        <v>0</v>
      </c>
      <c r="AQ18" s="12" t="s">
        <v>32</v>
      </c>
    </row>
    <row r="19" spans="1:43" x14ac:dyDescent="0.25">
      <c r="B19" s="1" t="str">
        <f>IF(C4=2,"- ნახველში გრამ-უარყოფითი ბაცილები",IF(C4=3,"- ნახველში გრამ-უარყოფითი ბაცილები",""))</f>
        <v/>
      </c>
      <c r="O19" s="1" t="s">
        <v>42</v>
      </c>
      <c r="AC19" s="13" t="b">
        <v>0</v>
      </c>
      <c r="AQ19" s="12" t="s">
        <v>33</v>
      </c>
    </row>
    <row r="20" spans="1:43" x14ac:dyDescent="0.25">
      <c r="B20" s="1" t="str">
        <f>IF(C4=2,"- დადასტურებული ან გადატანილი ფსევდომონა ინფექცია",IF(C4=3,"- დადასტურებული ან გადატანილი ფსევდომონა ინფექცია",""))</f>
        <v/>
      </c>
      <c r="AC20" s="13" t="b">
        <v>0</v>
      </c>
    </row>
    <row r="21" spans="1:43" x14ac:dyDescent="0.25">
      <c r="B21" s="1" t="str">
        <f>IF(C4=2,"- ფილტვის სტრუქტურული ანომალია (მაგ., ბრონქოექტაზია)",IF(C4=3,"- ფილტვის სტრუქტურული ანომალია (მაგ., ბრონქოექტაზია)",""))</f>
        <v/>
      </c>
      <c r="O21" s="46" t="s">
        <v>43</v>
      </c>
      <c r="P21" s="46"/>
      <c r="Q21" s="46"/>
      <c r="R21" s="46"/>
      <c r="S21" s="46"/>
      <c r="T21" s="46"/>
      <c r="U21" s="46"/>
      <c r="V21" s="46"/>
      <c r="W21" s="46"/>
      <c r="X21" s="46"/>
      <c r="Y21" s="46"/>
      <c r="Z21" s="46"/>
      <c r="AA21" s="46"/>
      <c r="AB21" s="46"/>
      <c r="AC21" s="13" t="b">
        <v>0</v>
      </c>
      <c r="AQ21" s="12" t="s">
        <v>59</v>
      </c>
    </row>
    <row r="22" spans="1:43" x14ac:dyDescent="0.25">
      <c r="B22" s="1" t="str">
        <f>IF(C4=2,"- ფქოდის ხშირი გამწვავება კორტიკოსტეროიდების ანდა ანტიბიოტიკოთერაპიის ხშირი საჭიროებით",IF(C4=3,"- ფქოდის ხშირი გამწვავება კორტიკოსტეროიების ანდა ანტიბიოტიკოთერაპიის ხშირი საჭიროებით",""))</f>
        <v/>
      </c>
      <c r="O22" s="46"/>
      <c r="P22" s="46"/>
      <c r="Q22" s="46"/>
      <c r="R22" s="46"/>
      <c r="S22" s="46"/>
      <c r="T22" s="46"/>
      <c r="U22" s="46"/>
      <c r="V22" s="46"/>
      <c r="W22" s="46"/>
      <c r="X22" s="46"/>
      <c r="Y22" s="46"/>
      <c r="Z22" s="46"/>
      <c r="AA22" s="46"/>
      <c r="AB22" s="46"/>
      <c r="AC22" s="13" t="b">
        <v>0</v>
      </c>
      <c r="AQ22" s="12" t="s">
        <v>60</v>
      </c>
    </row>
    <row r="23" spans="1:43" x14ac:dyDescent="0.25">
      <c r="O23" s="1" t="s">
        <v>44</v>
      </c>
      <c r="AQ23" s="12" t="s">
        <v>98</v>
      </c>
    </row>
    <row r="24" spans="1:43" x14ac:dyDescent="0.25">
      <c r="O24" s="1" t="s">
        <v>40</v>
      </c>
      <c r="AQ24" s="12" t="s">
        <v>99</v>
      </c>
    </row>
    <row r="25" spans="1:43" x14ac:dyDescent="0.25">
      <c r="A25" s="1" t="str">
        <f>IF(AC7,"MRSA-ს ძლიერი რისკ-ფაქტორი. ემპირიული ანტიბიოტიკოთერაპიის საჭიროება",IF(AC8,"MRSA-ს ძლიერი რისკ-ფაქტორი. ემპირიული ანტიბიოტიკოთერაპიის საჭიროება",IF(AC9,"საეჭვო MRSA. შესაძლოა ემპირიული ანტიბიოტიკოთერაპია",IF(AC10,"საეჭვო MRSA. შესაძლოა ემპირიული ანტიბიოტიკოთერაპია",IF(AC11,"საეჭვო MRSA. შესაძლოა ემპირიული ანტიბიოტიკოთერაპია",IF(AC12,"საეჭვო MRSA. შესაძლოა ემპირიული ანტიბიოტიკოთერაპია",IF(AC13,"საეჭვო MRSA. შესაძლოა ემპირიული ანტიბიოტიკოთერაპია",IF(AC14,"საეჭვო MRSA. შესაძლოა ემპირიული ანტიბიოტიკოთერაპია",IF(AC15,"საეჭვო MRSA. შესაძლოა ემპირიული ანტიბიოტიკოთერაპია",IF(AC16,"საეჭვო MRSA. შესაძლოა ემპირიული ანტიბიოტიკოთერაპია",IF(AC17,"საეჭვო MRSA. შესაძლოა ემპირიული ანტიბიოტიკოთერაპია",IF(AC18,"საეჭვო MRSA. შესაძლოა ემპირიული ანტიბიოტიკოთერაპია",""))))))))))))</f>
        <v/>
      </c>
      <c r="N25" s="6">
        <f>IF(A25="MRSA-ს ძლიერი რისკ-ფაქტორი. ემპირიული ანტიბიოტიკოთერაპიის საჭიროება",1,IF(A25="საეჭვო MRSA. შესაძლოა ემპირიული ანტიბიოტიკოთერაპია",2,IF(A25="",0,"")))</f>
        <v>0</v>
      </c>
    </row>
    <row r="26" spans="1:43" x14ac:dyDescent="0.25">
      <c r="A26" s="1" t="str">
        <f>IF(AC19,"ფსევდომონას ძლიერი რისკ-ფაქტორი. ემპირიული ანტიბიოტიკოთერაპიის საჭიროება",IF(AC20,"ფსევდომონას ძლიერი რისკ-ფაქტორი. ემპირიული ანტიბიოტიკოთერაპიის საჭიროება",IF(AC9,"ფსევდომონას ძლიერი რისკ-ფაქტორი. ემპირიული ანტიბიოტიკოთერაპიის საჭიროება",IF(AC21,"საეჭვო ფსევდომონა. შესაძლოა ემპირიული ანტიბიოტიკოთერაპია",IF(AC22,"საეჭვო ფსევდომონა. შესაძლოა ემპირიული ანტიბიოტიკოთერაპია","")))))</f>
        <v/>
      </c>
      <c r="N26" s="6">
        <f>IF(A26="ფსევდომონას ძლიერი რისკ-ფაქტორი. ემპირიული ანტიბიოტიკოთერაპიის საჭიროება",1,IF(A26="საეჭვო ფსევდომონა. შესაძლოა ემპირიული ანტიბიოტიკოთერაპია",2,IF(A26="",0,"")))</f>
        <v>0</v>
      </c>
      <c r="O26" s="46" t="s">
        <v>45</v>
      </c>
      <c r="P26" s="46"/>
      <c r="Q26" s="46"/>
      <c r="R26" s="46"/>
      <c r="S26" s="46"/>
      <c r="T26" s="46"/>
      <c r="U26" s="46"/>
      <c r="V26" s="46"/>
      <c r="W26" s="46"/>
      <c r="X26" s="46"/>
      <c r="Y26" s="46"/>
      <c r="Z26" s="46"/>
      <c r="AA26" s="46"/>
      <c r="AB26" s="46"/>
      <c r="AQ26" s="12" t="s">
        <v>67</v>
      </c>
    </row>
    <row r="27" spans="1:43" x14ac:dyDescent="0.25">
      <c r="O27" s="46"/>
      <c r="P27" s="46"/>
      <c r="Q27" s="46"/>
      <c r="R27" s="46"/>
      <c r="S27" s="46"/>
      <c r="T27" s="46"/>
      <c r="U27" s="46"/>
      <c r="V27" s="46"/>
      <c r="W27" s="46"/>
      <c r="X27" s="46"/>
      <c r="Y27" s="46"/>
      <c r="Z27" s="46"/>
      <c r="AA27" s="46"/>
      <c r="AB27" s="46"/>
      <c r="AQ27" s="12" t="s">
        <v>65</v>
      </c>
    </row>
    <row r="28" spans="1:43" x14ac:dyDescent="0.25">
      <c r="A28" s="2" t="str">
        <f>IF(AND(C4=2,N25=1,N26=1),AQ21,IF(AND(C4=2,N25=1,N26=2),AQ21,IF(AND(C4=2,N25=2,N26=1),AQ21,IF(AND(C4=2,N25=2,N26=2),AQ21,IF(AND(C4=2,N25=0,N26=1),AQ22,IF(AND(C4=2,N25=0,N26=2),AQ22,IF(AND(C4=2,N25=1,N26=0),AQ23,IF(AND(C4=2,N25=2,N26=0),AQ23,IF(AND(C4=2,N25=0,N26=0),AQ24,IF(AND(C4=3,N25=1,N26=1),AQ30,IF(AND(C4=3,N25=1,N26=2),AQ30,IF(AND(C4=3,N25=0,N26=1),AQ31,IF(AND(C4=3,N25=0,N26=2),AQ31,IF(AND(C4=3,N25=1,N26=0),AQ38,IF(AND(C4=3,N25=2,N26=1),AQ30,IF(AND(C4=3,N25=2,N26=0),AQ38,IF(AND(C4=3,N25=2,N26=2),AQ30,IF(AND(C4=3,N25=0,N26=0),AQ35,""))))))))))))))))))</f>
        <v/>
      </c>
      <c r="O28" s="47" t="s">
        <v>261</v>
      </c>
      <c r="P28" s="47"/>
      <c r="Q28" s="47"/>
      <c r="R28" s="47"/>
      <c r="S28" s="47"/>
      <c r="T28" s="47"/>
      <c r="U28" s="47"/>
      <c r="V28" s="47"/>
      <c r="W28" s="47"/>
      <c r="X28" s="47"/>
      <c r="Y28" s="47"/>
      <c r="Z28" s="47"/>
      <c r="AA28" s="47"/>
      <c r="AB28" s="47"/>
      <c r="AQ28" s="12" t="s">
        <v>66</v>
      </c>
    </row>
    <row r="29" spans="1:43" x14ac:dyDescent="0.25">
      <c r="A29" s="2"/>
      <c r="O29" s="47"/>
      <c r="P29" s="47"/>
      <c r="Q29" s="47"/>
      <c r="R29" s="47"/>
      <c r="S29" s="47"/>
      <c r="T29" s="47"/>
      <c r="U29" s="47"/>
      <c r="V29" s="47"/>
      <c r="W29" s="47"/>
      <c r="X29" s="47"/>
      <c r="Y29" s="47"/>
      <c r="Z29" s="47"/>
      <c r="AA29" s="47"/>
      <c r="AB29" s="47"/>
    </row>
    <row r="30" spans="1:43" x14ac:dyDescent="0.25">
      <c r="O30" s="47"/>
      <c r="P30" s="47"/>
      <c r="Q30" s="47"/>
      <c r="R30" s="47"/>
      <c r="S30" s="47"/>
      <c r="T30" s="47"/>
      <c r="U30" s="47"/>
      <c r="V30" s="47"/>
      <c r="W30" s="47"/>
      <c r="X30" s="47"/>
      <c r="Y30" s="47"/>
      <c r="Z30" s="47"/>
      <c r="AA30" s="47"/>
      <c r="AB30" s="47"/>
      <c r="AQ30" s="12" t="s">
        <v>67</v>
      </c>
    </row>
    <row r="31" spans="1:43" x14ac:dyDescent="0.25">
      <c r="A31" s="2" t="str">
        <f>IF(AND(C4=3,N25=1,N26=0),AQ39,IF(AND(C4=3,N25=2,N26=0),AQ39,IF(AND(C4=3,N25=0,N26=0),AQ37,"")))</f>
        <v/>
      </c>
      <c r="O31" s="47"/>
      <c r="P31" s="47"/>
      <c r="Q31" s="47"/>
      <c r="R31" s="47"/>
      <c r="S31" s="47"/>
      <c r="T31" s="47"/>
      <c r="U31" s="47"/>
      <c r="V31" s="47"/>
      <c r="W31" s="47"/>
      <c r="X31" s="47"/>
      <c r="Y31" s="47"/>
      <c r="Z31" s="47"/>
      <c r="AA31" s="47"/>
      <c r="AB31" s="47"/>
      <c r="AQ31" s="12" t="s">
        <v>65</v>
      </c>
    </row>
    <row r="32" spans="1:43" x14ac:dyDescent="0.25">
      <c r="O32" s="1" t="s">
        <v>47</v>
      </c>
      <c r="AQ32" s="12" t="s">
        <v>68</v>
      </c>
    </row>
    <row r="33" spans="15:43" x14ac:dyDescent="0.25">
      <c r="O33" s="1" t="s">
        <v>48</v>
      </c>
      <c r="AQ33" s="12" t="s">
        <v>70</v>
      </c>
    </row>
    <row r="34" spans="15:43" x14ac:dyDescent="0.25">
      <c r="O34" s="1" t="s">
        <v>49</v>
      </c>
      <c r="AQ34" s="12" t="s">
        <v>72</v>
      </c>
    </row>
    <row r="35" spans="15:43" x14ac:dyDescent="0.25">
      <c r="O35" s="1" t="s">
        <v>50</v>
      </c>
      <c r="AQ35" s="12" t="s">
        <v>100</v>
      </c>
    </row>
    <row r="36" spans="15:43" x14ac:dyDescent="0.25">
      <c r="AQ36" s="12" t="s">
        <v>74</v>
      </c>
    </row>
    <row r="37" spans="15:43" x14ac:dyDescent="0.25">
      <c r="O37" s="46" t="s">
        <v>51</v>
      </c>
      <c r="P37" s="46"/>
      <c r="Q37" s="46"/>
      <c r="R37" s="46"/>
      <c r="S37" s="46"/>
      <c r="T37" s="46"/>
      <c r="U37" s="46"/>
      <c r="V37" s="46"/>
      <c r="W37" s="46"/>
      <c r="X37" s="46"/>
      <c r="Y37" s="46"/>
      <c r="Z37" s="46"/>
      <c r="AA37" s="46"/>
      <c r="AB37" s="46"/>
      <c r="AQ37" s="12" t="s">
        <v>101</v>
      </c>
    </row>
    <row r="38" spans="15:43" x14ac:dyDescent="0.25">
      <c r="O38" s="46"/>
      <c r="P38" s="46"/>
      <c r="Q38" s="46"/>
      <c r="R38" s="46"/>
      <c r="S38" s="46"/>
      <c r="T38" s="46"/>
      <c r="U38" s="46"/>
      <c r="V38" s="46"/>
      <c r="W38" s="46"/>
      <c r="X38" s="46"/>
      <c r="Y38" s="46"/>
      <c r="Z38" s="46"/>
      <c r="AA38" s="46"/>
      <c r="AB38" s="46"/>
      <c r="AQ38" s="12" t="s">
        <v>102</v>
      </c>
    </row>
    <row r="39" spans="15:43" x14ac:dyDescent="0.25">
      <c r="O39" s="1" t="s">
        <v>52</v>
      </c>
      <c r="AQ39" s="12" t="s">
        <v>103</v>
      </c>
    </row>
    <row r="40" spans="15:43" x14ac:dyDescent="0.25">
      <c r="O40" s="1" t="s">
        <v>53</v>
      </c>
    </row>
    <row r="41" spans="15:43" x14ac:dyDescent="0.25">
      <c r="O41" s="1" t="s">
        <v>54</v>
      </c>
    </row>
    <row r="42" spans="15:43" x14ac:dyDescent="0.25">
      <c r="O42" s="1" t="s">
        <v>55</v>
      </c>
    </row>
    <row r="43" spans="15:43" x14ac:dyDescent="0.25">
      <c r="O43" s="1" t="s">
        <v>56</v>
      </c>
    </row>
    <row r="45" spans="15:43" x14ac:dyDescent="0.25">
      <c r="O45" s="46" t="s">
        <v>69</v>
      </c>
      <c r="P45" s="46"/>
      <c r="Q45" s="46"/>
      <c r="R45" s="46"/>
      <c r="S45" s="46"/>
      <c r="T45" s="46"/>
      <c r="U45" s="46"/>
      <c r="V45" s="46"/>
      <c r="W45" s="46"/>
      <c r="X45" s="46"/>
      <c r="Y45" s="46"/>
      <c r="Z45" s="46"/>
      <c r="AA45" s="46"/>
      <c r="AB45" s="46"/>
    </row>
    <row r="46" spans="15:43" x14ac:dyDescent="0.25">
      <c r="O46" s="46"/>
      <c r="P46" s="46"/>
      <c r="Q46" s="46"/>
      <c r="R46" s="46"/>
      <c r="S46" s="46"/>
      <c r="T46" s="46"/>
      <c r="U46" s="46"/>
      <c r="V46" s="46"/>
      <c r="W46" s="46"/>
      <c r="X46" s="46"/>
      <c r="Y46" s="46"/>
      <c r="Z46" s="46"/>
      <c r="AA46" s="46"/>
      <c r="AB46" s="46"/>
    </row>
    <row r="47" spans="15:43" x14ac:dyDescent="0.25">
      <c r="O47" s="1" t="s">
        <v>58</v>
      </c>
    </row>
    <row r="48" spans="15:43" x14ac:dyDescent="0.25">
      <c r="O48" s="1" t="s">
        <v>57</v>
      </c>
    </row>
    <row r="50" spans="15:28" x14ac:dyDescent="0.25">
      <c r="O50" s="44" t="s">
        <v>63</v>
      </c>
      <c r="P50" s="44"/>
      <c r="Q50" s="44"/>
      <c r="R50" s="44"/>
      <c r="S50" s="44"/>
      <c r="T50" s="44"/>
      <c r="U50" s="44"/>
      <c r="V50" s="44"/>
      <c r="W50" s="44"/>
      <c r="X50" s="44"/>
      <c r="Y50" s="44"/>
      <c r="Z50" s="44"/>
      <c r="AA50" s="44"/>
      <c r="AB50" s="44"/>
    </row>
    <row r="51" spans="15:28" x14ac:dyDescent="0.25">
      <c r="O51" s="44"/>
      <c r="P51" s="44"/>
      <c r="Q51" s="44"/>
      <c r="R51" s="44"/>
      <c r="S51" s="44"/>
      <c r="T51" s="44"/>
      <c r="U51" s="44"/>
      <c r="V51" s="44"/>
      <c r="W51" s="44"/>
      <c r="X51" s="44"/>
      <c r="Y51" s="44"/>
      <c r="Z51" s="44"/>
      <c r="AA51" s="44"/>
      <c r="AB51" s="44"/>
    </row>
    <row r="52" spans="15:28" x14ac:dyDescent="0.25">
      <c r="O52" s="45" t="s">
        <v>64</v>
      </c>
      <c r="P52" s="45"/>
      <c r="Q52" s="45"/>
      <c r="R52" s="45"/>
      <c r="S52" s="45"/>
      <c r="T52" s="45"/>
      <c r="U52" s="45"/>
      <c r="V52" s="45"/>
      <c r="W52" s="45"/>
      <c r="X52" s="45"/>
      <c r="Y52" s="45"/>
      <c r="Z52" s="45"/>
      <c r="AA52" s="45"/>
      <c r="AB52" s="45"/>
    </row>
    <row r="53" spans="15:28" x14ac:dyDescent="0.25">
      <c r="O53" s="45"/>
      <c r="P53" s="45"/>
      <c r="Q53" s="45"/>
      <c r="R53" s="45"/>
      <c r="S53" s="45"/>
      <c r="T53" s="45"/>
      <c r="U53" s="45"/>
      <c r="V53" s="45"/>
      <c r="W53" s="45"/>
      <c r="X53" s="45"/>
      <c r="Y53" s="45"/>
      <c r="Z53" s="45"/>
      <c r="AA53" s="45"/>
      <c r="AB53" s="45"/>
    </row>
    <row r="54" spans="15:28" x14ac:dyDescent="0.25">
      <c r="O54" s="45"/>
      <c r="P54" s="45"/>
      <c r="Q54" s="45"/>
      <c r="R54" s="45"/>
      <c r="S54" s="45"/>
      <c r="T54" s="45"/>
      <c r="U54" s="45"/>
      <c r="V54" s="45"/>
      <c r="W54" s="45"/>
      <c r="X54" s="45"/>
      <c r="Y54" s="45"/>
      <c r="Z54" s="45"/>
      <c r="AA54" s="45"/>
      <c r="AB54" s="45"/>
    </row>
    <row r="55" spans="15:28" x14ac:dyDescent="0.25">
      <c r="O55" s="45"/>
      <c r="P55" s="45"/>
      <c r="Q55" s="45"/>
      <c r="R55" s="45"/>
      <c r="S55" s="45"/>
      <c r="T55" s="45"/>
      <c r="U55" s="45"/>
      <c r="V55" s="45"/>
      <c r="W55" s="45"/>
      <c r="X55" s="45"/>
      <c r="Y55" s="45"/>
      <c r="Z55" s="45"/>
      <c r="AA55" s="45"/>
      <c r="AB55" s="45"/>
    </row>
    <row r="57" spans="15:28" x14ac:dyDescent="0.25">
      <c r="O57" s="10" t="s">
        <v>71</v>
      </c>
    </row>
  </sheetData>
  <sheetProtection algorithmName="SHA-512" hashValue="8C1qLUBrJDWGVTqcsxHA08ACd92VOT2KKa4/6dICGFyIMTrX0xcYdjqrg10Z54vAZM/fjr9ZaEdj+V2FxUVbXw==" saltValue="WDd1CItoJVISEeG7xwOPFQ==" spinCount="100000" sheet="1" objects="1" scenarios="1"/>
  <mergeCells count="12">
    <mergeCell ref="O52:AB55"/>
    <mergeCell ref="A1:N2"/>
    <mergeCell ref="O1:AB2"/>
    <mergeCell ref="O3:AB6"/>
    <mergeCell ref="O9:AB10"/>
    <mergeCell ref="O15:AB16"/>
    <mergeCell ref="O21:AB22"/>
    <mergeCell ref="O26:AB27"/>
    <mergeCell ref="O28:AB31"/>
    <mergeCell ref="O37:AB38"/>
    <mergeCell ref="O45:AB46"/>
    <mergeCell ref="O50:AB51"/>
  </mergeCells>
  <hyperlinks>
    <hyperlink ref="A1:N2" location="Sheet1!A1" display="საზოგადოებაში შეძენილიი პნევმონიის ემპირიული ანტიბიოტიკოთერაპია ზოგად თერაპიულ განყოფილებაში" xr:uid="{3A5C8295-FFBF-4575-B9CF-3B335EF90C33}"/>
  </hyperlinks>
  <pageMargins left="0.7" right="0.7" top="0.75" bottom="0.75" header="0.3" footer="0.3"/>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Drop Down 1">
              <controlPr defaultSize="0" autoLine="0" autoPict="0">
                <anchor moveWithCells="1">
                  <from>
                    <xdr:col>2</xdr:col>
                    <xdr:colOff>9525</xdr:colOff>
                    <xdr:row>3</xdr:row>
                    <xdr:rowOff>9525</xdr:rowOff>
                  </from>
                  <to>
                    <xdr:col>14</xdr:col>
                    <xdr:colOff>0</xdr:colOff>
                    <xdr:row>4</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409575</xdr:colOff>
                    <xdr:row>5</xdr:row>
                    <xdr:rowOff>180975</xdr:rowOff>
                  </from>
                  <to>
                    <xdr:col>1</xdr:col>
                    <xdr:colOff>533400</xdr:colOff>
                    <xdr:row>7</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409575</xdr:colOff>
                    <xdr:row>6</xdr:row>
                    <xdr:rowOff>180975</xdr:rowOff>
                  </from>
                  <to>
                    <xdr:col>1</xdr:col>
                    <xdr:colOff>533400</xdr:colOff>
                    <xdr:row>8</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409575</xdr:colOff>
                    <xdr:row>7</xdr:row>
                    <xdr:rowOff>180975</xdr:rowOff>
                  </from>
                  <to>
                    <xdr:col>1</xdr:col>
                    <xdr:colOff>533400</xdr:colOff>
                    <xdr:row>9</xdr:row>
                    <xdr:rowOff>9525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409575</xdr:colOff>
                    <xdr:row>8</xdr:row>
                    <xdr:rowOff>180975</xdr:rowOff>
                  </from>
                  <to>
                    <xdr:col>1</xdr:col>
                    <xdr:colOff>533400</xdr:colOff>
                    <xdr:row>10</xdr:row>
                    <xdr:rowOff>9525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0</xdr:col>
                    <xdr:colOff>409575</xdr:colOff>
                    <xdr:row>10</xdr:row>
                    <xdr:rowOff>19050</xdr:rowOff>
                  </from>
                  <to>
                    <xdr:col>1</xdr:col>
                    <xdr:colOff>533400</xdr:colOff>
                    <xdr:row>11</xdr:row>
                    <xdr:rowOff>38100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0</xdr:col>
                    <xdr:colOff>409575</xdr:colOff>
                    <xdr:row>11</xdr:row>
                    <xdr:rowOff>19050</xdr:rowOff>
                  </from>
                  <to>
                    <xdr:col>1</xdr:col>
                    <xdr:colOff>533400</xdr:colOff>
                    <xdr:row>12</xdr:row>
                    <xdr:rowOff>38100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0</xdr:col>
                    <xdr:colOff>409575</xdr:colOff>
                    <xdr:row>12</xdr:row>
                    <xdr:rowOff>19050</xdr:rowOff>
                  </from>
                  <to>
                    <xdr:col>1</xdr:col>
                    <xdr:colOff>533400</xdr:colOff>
                    <xdr:row>13</xdr:row>
                    <xdr:rowOff>38100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0</xdr:col>
                    <xdr:colOff>409575</xdr:colOff>
                    <xdr:row>13</xdr:row>
                    <xdr:rowOff>19050</xdr:rowOff>
                  </from>
                  <to>
                    <xdr:col>1</xdr:col>
                    <xdr:colOff>533400</xdr:colOff>
                    <xdr:row>14</xdr:row>
                    <xdr:rowOff>38100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0</xdr:col>
                    <xdr:colOff>409575</xdr:colOff>
                    <xdr:row>14</xdr:row>
                    <xdr:rowOff>19050</xdr:rowOff>
                  </from>
                  <to>
                    <xdr:col>1</xdr:col>
                    <xdr:colOff>533400</xdr:colOff>
                    <xdr:row>15</xdr:row>
                    <xdr:rowOff>38100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0</xdr:col>
                    <xdr:colOff>409575</xdr:colOff>
                    <xdr:row>15</xdr:row>
                    <xdr:rowOff>19050</xdr:rowOff>
                  </from>
                  <to>
                    <xdr:col>1</xdr:col>
                    <xdr:colOff>533400</xdr:colOff>
                    <xdr:row>16</xdr:row>
                    <xdr:rowOff>38100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0</xdr:col>
                    <xdr:colOff>409575</xdr:colOff>
                    <xdr:row>16</xdr:row>
                    <xdr:rowOff>19050</xdr:rowOff>
                  </from>
                  <to>
                    <xdr:col>1</xdr:col>
                    <xdr:colOff>533400</xdr:colOff>
                    <xdr:row>17</xdr:row>
                    <xdr:rowOff>38100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0</xdr:col>
                    <xdr:colOff>409575</xdr:colOff>
                    <xdr:row>17</xdr:row>
                    <xdr:rowOff>19050</xdr:rowOff>
                  </from>
                  <to>
                    <xdr:col>1</xdr:col>
                    <xdr:colOff>533400</xdr:colOff>
                    <xdr:row>18</xdr:row>
                    <xdr:rowOff>38100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0</xdr:col>
                    <xdr:colOff>409575</xdr:colOff>
                    <xdr:row>18</xdr:row>
                    <xdr:rowOff>28575</xdr:rowOff>
                  </from>
                  <to>
                    <xdr:col>1</xdr:col>
                    <xdr:colOff>533400</xdr:colOff>
                    <xdr:row>19</xdr:row>
                    <xdr:rowOff>47625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0</xdr:col>
                    <xdr:colOff>409575</xdr:colOff>
                    <xdr:row>19</xdr:row>
                    <xdr:rowOff>28575</xdr:rowOff>
                  </from>
                  <to>
                    <xdr:col>1</xdr:col>
                    <xdr:colOff>533400</xdr:colOff>
                    <xdr:row>20</xdr:row>
                    <xdr:rowOff>47625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0</xdr:col>
                    <xdr:colOff>409575</xdr:colOff>
                    <xdr:row>20</xdr:row>
                    <xdr:rowOff>28575</xdr:rowOff>
                  </from>
                  <to>
                    <xdr:col>1</xdr:col>
                    <xdr:colOff>533400</xdr:colOff>
                    <xdr:row>21</xdr:row>
                    <xdr:rowOff>47625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0</xdr:col>
                    <xdr:colOff>409575</xdr:colOff>
                    <xdr:row>21</xdr:row>
                    <xdr:rowOff>28575</xdr:rowOff>
                  </from>
                  <to>
                    <xdr:col>1</xdr:col>
                    <xdr:colOff>533400</xdr:colOff>
                    <xdr:row>22</xdr:row>
                    <xdr:rowOff>47625</xdr:rowOff>
                  </to>
                </anchor>
              </controlPr>
            </control>
          </mc:Choice>
        </mc:AlternateContent>
        <mc:AlternateContent xmlns:mc="http://schemas.openxmlformats.org/markup-compatibility/2006">
          <mc:Choice Requires="x14">
            <control shapeId="6162" r:id="rId21" name="Drop Down 18">
              <controlPr defaultSize="0" autoLine="0" autoPict="0">
                <anchor moveWithCells="1">
                  <from>
                    <xdr:col>2</xdr:col>
                    <xdr:colOff>9525</xdr:colOff>
                    <xdr:row>3</xdr:row>
                    <xdr:rowOff>9525</xdr:rowOff>
                  </from>
                  <to>
                    <xdr:col>14</xdr:col>
                    <xdr:colOff>0</xdr:colOff>
                    <xdr:row>4</xdr:row>
                    <xdr:rowOff>19050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0</xdr:col>
                    <xdr:colOff>409575</xdr:colOff>
                    <xdr:row>5</xdr:row>
                    <xdr:rowOff>180975</xdr:rowOff>
                  </from>
                  <to>
                    <xdr:col>1</xdr:col>
                    <xdr:colOff>533400</xdr:colOff>
                    <xdr:row>7</xdr:row>
                    <xdr:rowOff>9525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0</xdr:col>
                    <xdr:colOff>409575</xdr:colOff>
                    <xdr:row>6</xdr:row>
                    <xdr:rowOff>180975</xdr:rowOff>
                  </from>
                  <to>
                    <xdr:col>1</xdr:col>
                    <xdr:colOff>533400</xdr:colOff>
                    <xdr:row>8</xdr:row>
                    <xdr:rowOff>9525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0</xdr:col>
                    <xdr:colOff>409575</xdr:colOff>
                    <xdr:row>7</xdr:row>
                    <xdr:rowOff>180975</xdr:rowOff>
                  </from>
                  <to>
                    <xdr:col>1</xdr:col>
                    <xdr:colOff>533400</xdr:colOff>
                    <xdr:row>9</xdr:row>
                    <xdr:rowOff>9525</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0</xdr:col>
                    <xdr:colOff>409575</xdr:colOff>
                    <xdr:row>8</xdr:row>
                    <xdr:rowOff>180975</xdr:rowOff>
                  </from>
                  <to>
                    <xdr:col>1</xdr:col>
                    <xdr:colOff>533400</xdr:colOff>
                    <xdr:row>10</xdr:row>
                    <xdr:rowOff>9525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0</xdr:col>
                    <xdr:colOff>409575</xdr:colOff>
                    <xdr:row>10</xdr:row>
                    <xdr:rowOff>19050</xdr:rowOff>
                  </from>
                  <to>
                    <xdr:col>1</xdr:col>
                    <xdr:colOff>533400</xdr:colOff>
                    <xdr:row>11</xdr:row>
                    <xdr:rowOff>38100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0</xdr:col>
                    <xdr:colOff>409575</xdr:colOff>
                    <xdr:row>11</xdr:row>
                    <xdr:rowOff>19050</xdr:rowOff>
                  </from>
                  <to>
                    <xdr:col>1</xdr:col>
                    <xdr:colOff>533400</xdr:colOff>
                    <xdr:row>12</xdr:row>
                    <xdr:rowOff>38100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0</xdr:col>
                    <xdr:colOff>409575</xdr:colOff>
                    <xdr:row>12</xdr:row>
                    <xdr:rowOff>19050</xdr:rowOff>
                  </from>
                  <to>
                    <xdr:col>1</xdr:col>
                    <xdr:colOff>533400</xdr:colOff>
                    <xdr:row>13</xdr:row>
                    <xdr:rowOff>38100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0</xdr:col>
                    <xdr:colOff>409575</xdr:colOff>
                    <xdr:row>13</xdr:row>
                    <xdr:rowOff>19050</xdr:rowOff>
                  </from>
                  <to>
                    <xdr:col>1</xdr:col>
                    <xdr:colOff>533400</xdr:colOff>
                    <xdr:row>14</xdr:row>
                    <xdr:rowOff>38100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0</xdr:col>
                    <xdr:colOff>409575</xdr:colOff>
                    <xdr:row>14</xdr:row>
                    <xdr:rowOff>19050</xdr:rowOff>
                  </from>
                  <to>
                    <xdr:col>1</xdr:col>
                    <xdr:colOff>533400</xdr:colOff>
                    <xdr:row>15</xdr:row>
                    <xdr:rowOff>38100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0</xdr:col>
                    <xdr:colOff>409575</xdr:colOff>
                    <xdr:row>15</xdr:row>
                    <xdr:rowOff>19050</xdr:rowOff>
                  </from>
                  <to>
                    <xdr:col>1</xdr:col>
                    <xdr:colOff>533400</xdr:colOff>
                    <xdr:row>16</xdr:row>
                    <xdr:rowOff>38100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0</xdr:col>
                    <xdr:colOff>409575</xdr:colOff>
                    <xdr:row>16</xdr:row>
                    <xdr:rowOff>19050</xdr:rowOff>
                  </from>
                  <to>
                    <xdr:col>1</xdr:col>
                    <xdr:colOff>533400</xdr:colOff>
                    <xdr:row>17</xdr:row>
                    <xdr:rowOff>38100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0</xdr:col>
                    <xdr:colOff>409575</xdr:colOff>
                    <xdr:row>17</xdr:row>
                    <xdr:rowOff>19050</xdr:rowOff>
                  </from>
                  <to>
                    <xdr:col>1</xdr:col>
                    <xdr:colOff>533400</xdr:colOff>
                    <xdr:row>18</xdr:row>
                    <xdr:rowOff>38100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0</xdr:col>
                    <xdr:colOff>409575</xdr:colOff>
                    <xdr:row>18</xdr:row>
                    <xdr:rowOff>28575</xdr:rowOff>
                  </from>
                  <to>
                    <xdr:col>1</xdr:col>
                    <xdr:colOff>533400</xdr:colOff>
                    <xdr:row>19</xdr:row>
                    <xdr:rowOff>47625</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0</xdr:col>
                    <xdr:colOff>409575</xdr:colOff>
                    <xdr:row>19</xdr:row>
                    <xdr:rowOff>28575</xdr:rowOff>
                  </from>
                  <to>
                    <xdr:col>1</xdr:col>
                    <xdr:colOff>533400</xdr:colOff>
                    <xdr:row>20</xdr:row>
                    <xdr:rowOff>47625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0</xdr:col>
                    <xdr:colOff>409575</xdr:colOff>
                    <xdr:row>20</xdr:row>
                    <xdr:rowOff>28575</xdr:rowOff>
                  </from>
                  <to>
                    <xdr:col>1</xdr:col>
                    <xdr:colOff>533400</xdr:colOff>
                    <xdr:row>21</xdr:row>
                    <xdr:rowOff>47625</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0</xdr:col>
                    <xdr:colOff>409575</xdr:colOff>
                    <xdr:row>21</xdr:row>
                    <xdr:rowOff>28575</xdr:rowOff>
                  </from>
                  <to>
                    <xdr:col>1</xdr:col>
                    <xdr:colOff>533400</xdr:colOff>
                    <xdr:row>22</xdr:row>
                    <xdr:rowOff>47625</xdr:rowOff>
                  </to>
                </anchor>
              </controlPr>
            </control>
          </mc:Choice>
        </mc:AlternateContent>
        <mc:AlternateContent xmlns:mc="http://schemas.openxmlformats.org/markup-compatibility/2006">
          <mc:Choice Requires="x14">
            <control shapeId="6179" r:id="rId38" name="Drop Down 35">
              <controlPr defaultSize="0" autoLine="0" autoPict="0">
                <anchor moveWithCells="1">
                  <from>
                    <xdr:col>2</xdr:col>
                    <xdr:colOff>9525</xdr:colOff>
                    <xdr:row>3</xdr:row>
                    <xdr:rowOff>9525</xdr:rowOff>
                  </from>
                  <to>
                    <xdr:col>14</xdr:col>
                    <xdr:colOff>0</xdr:colOff>
                    <xdr:row>4</xdr:row>
                    <xdr:rowOff>19050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0</xdr:col>
                    <xdr:colOff>409575</xdr:colOff>
                    <xdr:row>5</xdr:row>
                    <xdr:rowOff>180975</xdr:rowOff>
                  </from>
                  <to>
                    <xdr:col>1</xdr:col>
                    <xdr:colOff>533400</xdr:colOff>
                    <xdr:row>7</xdr:row>
                    <xdr:rowOff>9525</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0</xdr:col>
                    <xdr:colOff>409575</xdr:colOff>
                    <xdr:row>6</xdr:row>
                    <xdr:rowOff>180975</xdr:rowOff>
                  </from>
                  <to>
                    <xdr:col>1</xdr:col>
                    <xdr:colOff>533400</xdr:colOff>
                    <xdr:row>8</xdr:row>
                    <xdr:rowOff>9525</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0</xdr:col>
                    <xdr:colOff>409575</xdr:colOff>
                    <xdr:row>7</xdr:row>
                    <xdr:rowOff>180975</xdr:rowOff>
                  </from>
                  <to>
                    <xdr:col>1</xdr:col>
                    <xdr:colOff>533400</xdr:colOff>
                    <xdr:row>9</xdr:row>
                    <xdr:rowOff>9525</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0</xdr:col>
                    <xdr:colOff>409575</xdr:colOff>
                    <xdr:row>8</xdr:row>
                    <xdr:rowOff>180975</xdr:rowOff>
                  </from>
                  <to>
                    <xdr:col>1</xdr:col>
                    <xdr:colOff>533400</xdr:colOff>
                    <xdr:row>10</xdr:row>
                    <xdr:rowOff>9525</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0</xdr:col>
                    <xdr:colOff>409575</xdr:colOff>
                    <xdr:row>10</xdr:row>
                    <xdr:rowOff>19050</xdr:rowOff>
                  </from>
                  <to>
                    <xdr:col>1</xdr:col>
                    <xdr:colOff>533400</xdr:colOff>
                    <xdr:row>11</xdr:row>
                    <xdr:rowOff>38100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0</xdr:col>
                    <xdr:colOff>409575</xdr:colOff>
                    <xdr:row>11</xdr:row>
                    <xdr:rowOff>19050</xdr:rowOff>
                  </from>
                  <to>
                    <xdr:col>1</xdr:col>
                    <xdr:colOff>533400</xdr:colOff>
                    <xdr:row>12</xdr:row>
                    <xdr:rowOff>38100</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0</xdr:col>
                    <xdr:colOff>409575</xdr:colOff>
                    <xdr:row>12</xdr:row>
                    <xdr:rowOff>19050</xdr:rowOff>
                  </from>
                  <to>
                    <xdr:col>1</xdr:col>
                    <xdr:colOff>533400</xdr:colOff>
                    <xdr:row>13</xdr:row>
                    <xdr:rowOff>38100</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0</xdr:col>
                    <xdr:colOff>409575</xdr:colOff>
                    <xdr:row>13</xdr:row>
                    <xdr:rowOff>19050</xdr:rowOff>
                  </from>
                  <to>
                    <xdr:col>1</xdr:col>
                    <xdr:colOff>533400</xdr:colOff>
                    <xdr:row>14</xdr:row>
                    <xdr:rowOff>38100</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0</xdr:col>
                    <xdr:colOff>409575</xdr:colOff>
                    <xdr:row>14</xdr:row>
                    <xdr:rowOff>19050</xdr:rowOff>
                  </from>
                  <to>
                    <xdr:col>1</xdr:col>
                    <xdr:colOff>533400</xdr:colOff>
                    <xdr:row>15</xdr:row>
                    <xdr:rowOff>38100</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0</xdr:col>
                    <xdr:colOff>409575</xdr:colOff>
                    <xdr:row>15</xdr:row>
                    <xdr:rowOff>19050</xdr:rowOff>
                  </from>
                  <to>
                    <xdr:col>1</xdr:col>
                    <xdr:colOff>533400</xdr:colOff>
                    <xdr:row>16</xdr:row>
                    <xdr:rowOff>38100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0</xdr:col>
                    <xdr:colOff>409575</xdr:colOff>
                    <xdr:row>16</xdr:row>
                    <xdr:rowOff>19050</xdr:rowOff>
                  </from>
                  <to>
                    <xdr:col>1</xdr:col>
                    <xdr:colOff>533400</xdr:colOff>
                    <xdr:row>17</xdr:row>
                    <xdr:rowOff>38100</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0</xdr:col>
                    <xdr:colOff>409575</xdr:colOff>
                    <xdr:row>17</xdr:row>
                    <xdr:rowOff>19050</xdr:rowOff>
                  </from>
                  <to>
                    <xdr:col>1</xdr:col>
                    <xdr:colOff>533400</xdr:colOff>
                    <xdr:row>18</xdr:row>
                    <xdr:rowOff>38100</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0</xdr:col>
                    <xdr:colOff>409575</xdr:colOff>
                    <xdr:row>18</xdr:row>
                    <xdr:rowOff>28575</xdr:rowOff>
                  </from>
                  <to>
                    <xdr:col>1</xdr:col>
                    <xdr:colOff>533400</xdr:colOff>
                    <xdr:row>19</xdr:row>
                    <xdr:rowOff>47625</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0</xdr:col>
                    <xdr:colOff>409575</xdr:colOff>
                    <xdr:row>19</xdr:row>
                    <xdr:rowOff>28575</xdr:rowOff>
                  </from>
                  <to>
                    <xdr:col>1</xdr:col>
                    <xdr:colOff>533400</xdr:colOff>
                    <xdr:row>20</xdr:row>
                    <xdr:rowOff>47625</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0</xdr:col>
                    <xdr:colOff>409575</xdr:colOff>
                    <xdr:row>20</xdr:row>
                    <xdr:rowOff>28575</xdr:rowOff>
                  </from>
                  <to>
                    <xdr:col>1</xdr:col>
                    <xdr:colOff>533400</xdr:colOff>
                    <xdr:row>21</xdr:row>
                    <xdr:rowOff>47625</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0</xdr:col>
                    <xdr:colOff>409575</xdr:colOff>
                    <xdr:row>21</xdr:row>
                    <xdr:rowOff>28575</xdr:rowOff>
                  </from>
                  <to>
                    <xdr:col>1</xdr:col>
                    <xdr:colOff>533400</xdr:colOff>
                    <xdr:row>22</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AFED7-998E-486C-B1DF-0AF396D1E6C0}">
  <dimension ref="A1:AE24"/>
  <sheetViews>
    <sheetView workbookViewId="0">
      <selection activeCell="J40" sqref="J40"/>
    </sheetView>
  </sheetViews>
  <sheetFormatPr defaultColWidth="8.75" defaultRowHeight="15" x14ac:dyDescent="0.25"/>
  <cols>
    <col min="1" max="30" width="8.75" style="1"/>
    <col min="31" max="31" width="8.75" style="12"/>
    <col min="32" max="16384" width="8.75" style="1"/>
  </cols>
  <sheetData>
    <row r="1" spans="1:31" x14ac:dyDescent="0.25">
      <c r="A1" s="48" t="s">
        <v>105</v>
      </c>
      <c r="B1" s="48"/>
      <c r="C1" s="48"/>
      <c r="D1" s="48"/>
      <c r="E1" s="48"/>
      <c r="F1" s="48"/>
      <c r="G1" s="48"/>
      <c r="H1" s="48"/>
      <c r="I1" s="48"/>
      <c r="J1" s="48"/>
      <c r="K1" s="48"/>
      <c r="L1" s="48"/>
      <c r="M1" s="48"/>
      <c r="N1" s="48"/>
      <c r="O1" s="48"/>
      <c r="P1" s="58" t="s">
        <v>120</v>
      </c>
      <c r="Q1" s="58"/>
      <c r="R1" s="58"/>
      <c r="S1" s="59" t="s">
        <v>121</v>
      </c>
      <c r="T1" s="59"/>
      <c r="U1" s="59"/>
      <c r="V1" s="59"/>
      <c r="W1" s="59"/>
      <c r="X1" s="58" t="s">
        <v>122</v>
      </c>
      <c r="Y1" s="58"/>
      <c r="Z1" s="58"/>
      <c r="AA1" s="58"/>
      <c r="AB1" s="58"/>
      <c r="AC1" s="58"/>
      <c r="AD1" s="58"/>
    </row>
    <row r="2" spans="1:31" x14ac:dyDescent="0.25">
      <c r="A2" s="48"/>
      <c r="B2" s="48"/>
      <c r="C2" s="48"/>
      <c r="D2" s="48"/>
      <c r="E2" s="48"/>
      <c r="F2" s="48"/>
      <c r="G2" s="48"/>
      <c r="H2" s="48"/>
      <c r="I2" s="48"/>
      <c r="J2" s="48"/>
      <c r="K2" s="48"/>
      <c r="L2" s="48"/>
      <c r="M2" s="48"/>
      <c r="N2" s="48"/>
      <c r="O2" s="48"/>
      <c r="P2" s="58"/>
      <c r="Q2" s="58"/>
      <c r="R2" s="58"/>
      <c r="S2" s="59"/>
      <c r="T2" s="59"/>
      <c r="U2" s="59"/>
      <c r="V2" s="59"/>
      <c r="W2" s="59"/>
      <c r="X2" s="58"/>
      <c r="Y2" s="58"/>
      <c r="Z2" s="58"/>
      <c r="AA2" s="58"/>
      <c r="AB2" s="58"/>
      <c r="AC2" s="58"/>
      <c r="AD2" s="58"/>
      <c r="AE2" s="12" t="s">
        <v>114</v>
      </c>
    </row>
    <row r="3" spans="1:31" x14ac:dyDescent="0.25">
      <c r="B3" s="11"/>
      <c r="C3" s="11"/>
      <c r="P3" s="53" t="s">
        <v>123</v>
      </c>
      <c r="Q3" s="53"/>
      <c r="R3" s="53"/>
      <c r="S3" s="53" t="s">
        <v>124</v>
      </c>
      <c r="T3" s="53"/>
      <c r="U3" s="53"/>
      <c r="V3" s="53"/>
      <c r="W3" s="53"/>
      <c r="X3" s="53" t="s">
        <v>125</v>
      </c>
      <c r="Y3" s="53"/>
      <c r="Z3" s="53"/>
      <c r="AA3" s="53"/>
      <c r="AB3" s="53"/>
      <c r="AC3" s="53"/>
      <c r="AD3" s="53"/>
      <c r="AE3" s="12" t="s">
        <v>106</v>
      </c>
    </row>
    <row r="4" spans="1:31" ht="14.45" customHeight="1" x14ac:dyDescent="0.25">
      <c r="A4" s="19" t="s">
        <v>115</v>
      </c>
      <c r="B4" s="11"/>
      <c r="C4" s="11">
        <v>1</v>
      </c>
      <c r="O4" s="12" t="str">
        <f>IF(C4=2,1,IF(C4=3,2,IF(C4=4,2,IF(C4=5,2,IF(C4=6,2,IF(C4=7,2,IF(C4=8,2,IF(C4=9,2,IF(C4=10,2,"")))))))))</f>
        <v/>
      </c>
      <c r="P4" s="54" t="s">
        <v>132</v>
      </c>
      <c r="Q4" s="54"/>
      <c r="R4" s="54"/>
      <c r="S4" s="53" t="s">
        <v>126</v>
      </c>
      <c r="T4" s="53"/>
      <c r="U4" s="53"/>
      <c r="V4" s="53"/>
      <c r="W4" s="53"/>
      <c r="X4" s="55" t="s">
        <v>136</v>
      </c>
      <c r="Y4" s="56"/>
      <c r="Z4" s="56"/>
      <c r="AA4" s="56"/>
      <c r="AB4" s="56"/>
      <c r="AC4" s="56"/>
      <c r="AD4" s="57"/>
      <c r="AE4" s="12" t="s">
        <v>107</v>
      </c>
    </row>
    <row r="5" spans="1:31" x14ac:dyDescent="0.25">
      <c r="C5" s="11"/>
      <c r="P5" s="54"/>
      <c r="Q5" s="54"/>
      <c r="R5" s="54"/>
      <c r="S5" s="53"/>
      <c r="T5" s="53"/>
      <c r="U5" s="53"/>
      <c r="V5" s="53"/>
      <c r="W5" s="53"/>
      <c r="X5" s="55" t="s">
        <v>127</v>
      </c>
      <c r="Y5" s="56"/>
      <c r="Z5" s="56"/>
      <c r="AA5" s="56"/>
      <c r="AB5" s="56"/>
      <c r="AC5" s="56"/>
      <c r="AD5" s="57"/>
      <c r="AE5" s="12" t="s">
        <v>108</v>
      </c>
    </row>
    <row r="6" spans="1:31" x14ac:dyDescent="0.25">
      <c r="A6" s="19" t="str">
        <f>IF(O4=1,"პენიცილინზე ალერგია ან იდიოსინკრაზია",IF(O4=2,"პენიცილინზე ალერგია ან იდიოსინკრაზია",""))</f>
        <v/>
      </c>
      <c r="P6" s="54"/>
      <c r="Q6" s="54"/>
      <c r="R6" s="54"/>
      <c r="S6" s="53" t="s">
        <v>128</v>
      </c>
      <c r="T6" s="53"/>
      <c r="U6" s="53"/>
      <c r="V6" s="53"/>
      <c r="W6" s="53"/>
      <c r="X6" s="53" t="s">
        <v>130</v>
      </c>
      <c r="Y6" s="53"/>
      <c r="Z6" s="53"/>
      <c r="AA6" s="53"/>
      <c r="AB6" s="53"/>
      <c r="AC6" s="53"/>
      <c r="AD6" s="53"/>
      <c r="AE6" s="12" t="s">
        <v>109</v>
      </c>
    </row>
    <row r="7" spans="1:31" x14ac:dyDescent="0.25">
      <c r="B7" s="45" t="str">
        <f>IF(O4=1,AE13,IF(O4=2,AE13,""))</f>
        <v/>
      </c>
      <c r="C7" s="45"/>
      <c r="D7" s="45"/>
      <c r="E7" s="45"/>
      <c r="F7" s="45"/>
      <c r="G7" s="45"/>
      <c r="H7" s="45"/>
      <c r="I7" s="45"/>
      <c r="J7" s="45"/>
      <c r="K7" s="45"/>
      <c r="L7" s="45"/>
      <c r="M7" s="45"/>
      <c r="N7" s="45"/>
      <c r="O7" s="45"/>
      <c r="P7" s="54"/>
      <c r="Q7" s="54"/>
      <c r="R7" s="54"/>
      <c r="S7" s="53" t="s">
        <v>129</v>
      </c>
      <c r="T7" s="53"/>
      <c r="U7" s="53"/>
      <c r="V7" s="53"/>
      <c r="W7" s="53"/>
      <c r="X7" s="53" t="s">
        <v>131</v>
      </c>
      <c r="Y7" s="53"/>
      <c r="Z7" s="53"/>
      <c r="AA7" s="53"/>
      <c r="AB7" s="53"/>
      <c r="AC7" s="53"/>
      <c r="AD7" s="53"/>
      <c r="AE7" s="12" t="s">
        <v>110</v>
      </c>
    </row>
    <row r="8" spans="1:31" x14ac:dyDescent="0.25">
      <c r="B8" s="45"/>
      <c r="C8" s="45"/>
      <c r="D8" s="45"/>
      <c r="E8" s="45"/>
      <c r="F8" s="45"/>
      <c r="G8" s="45"/>
      <c r="H8" s="45"/>
      <c r="I8" s="45"/>
      <c r="J8" s="45"/>
      <c r="K8" s="45"/>
      <c r="L8" s="45"/>
      <c r="M8" s="45"/>
      <c r="N8" s="45"/>
      <c r="O8" s="45"/>
      <c r="P8" s="53" t="s">
        <v>138</v>
      </c>
      <c r="Q8" s="53"/>
      <c r="R8" s="53"/>
      <c r="S8" s="53" t="s">
        <v>134</v>
      </c>
      <c r="T8" s="53"/>
      <c r="U8" s="53"/>
      <c r="V8" s="53"/>
      <c r="W8" s="53"/>
      <c r="X8" s="53" t="s">
        <v>135</v>
      </c>
      <c r="Y8" s="53"/>
      <c r="Z8" s="53"/>
      <c r="AA8" s="53"/>
      <c r="AB8" s="53"/>
      <c r="AC8" s="53"/>
      <c r="AD8" s="53"/>
      <c r="AE8" s="12" t="s">
        <v>111</v>
      </c>
    </row>
    <row r="9" spans="1:31" x14ac:dyDescent="0.25">
      <c r="B9" s="45"/>
      <c r="C9" s="45"/>
      <c r="D9" s="45"/>
      <c r="E9" s="45"/>
      <c r="F9" s="45"/>
      <c r="G9" s="45"/>
      <c r="H9" s="45"/>
      <c r="I9" s="45"/>
      <c r="J9" s="45"/>
      <c r="K9" s="45"/>
      <c r="L9" s="45"/>
      <c r="M9" s="45"/>
      <c r="N9" s="45"/>
      <c r="O9" s="45"/>
      <c r="P9" s="53"/>
      <c r="Q9" s="53"/>
      <c r="R9" s="53"/>
      <c r="S9" s="53" t="s">
        <v>133</v>
      </c>
      <c r="T9" s="53"/>
      <c r="U9" s="53"/>
      <c r="V9" s="53"/>
      <c r="W9" s="53"/>
      <c r="X9" s="53" t="s">
        <v>137</v>
      </c>
      <c r="Y9" s="53"/>
      <c r="Z9" s="53"/>
      <c r="AA9" s="53"/>
      <c r="AB9" s="53"/>
      <c r="AC9" s="53"/>
      <c r="AD9" s="53"/>
      <c r="AE9" s="12" t="s">
        <v>112</v>
      </c>
    </row>
    <row r="10" spans="1:31" x14ac:dyDescent="0.25">
      <c r="P10" s="53" t="s">
        <v>139</v>
      </c>
      <c r="Q10" s="53"/>
      <c r="R10" s="53"/>
      <c r="S10" s="53" t="s">
        <v>140</v>
      </c>
      <c r="T10" s="53"/>
      <c r="U10" s="53"/>
      <c r="V10" s="53"/>
      <c r="W10" s="53"/>
      <c r="X10" s="53" t="s">
        <v>141</v>
      </c>
      <c r="Y10" s="53"/>
      <c r="Z10" s="53"/>
      <c r="AA10" s="53"/>
      <c r="AB10" s="53"/>
      <c r="AC10" s="53"/>
      <c r="AD10" s="53"/>
      <c r="AE10" s="12" t="s">
        <v>113</v>
      </c>
    </row>
    <row r="11" spans="1:31" x14ac:dyDescent="0.25">
      <c r="B11" s="45" t="str">
        <f>IF(O4=2,AE14,IF(O4=1,AE14,""))</f>
        <v/>
      </c>
      <c r="C11" s="45"/>
      <c r="D11" s="45"/>
      <c r="E11" s="45"/>
      <c r="F11" s="45"/>
      <c r="G11" s="45"/>
      <c r="H11" s="45"/>
      <c r="I11" s="45"/>
      <c r="J11" s="45"/>
      <c r="K11" s="45"/>
      <c r="L11" s="45"/>
      <c r="M11" s="45"/>
      <c r="N11" s="45"/>
      <c r="O11" s="45"/>
      <c r="P11" s="54" t="s">
        <v>39</v>
      </c>
      <c r="Q11" s="54"/>
      <c r="R11" s="54"/>
      <c r="S11" s="53" t="s">
        <v>142</v>
      </c>
      <c r="T11" s="53"/>
      <c r="U11" s="53"/>
      <c r="V11" s="53"/>
      <c r="W11" s="53"/>
      <c r="X11" s="53" t="s">
        <v>145</v>
      </c>
      <c r="Y11" s="53"/>
      <c r="Z11" s="53"/>
      <c r="AA11" s="53"/>
      <c r="AB11" s="53"/>
      <c r="AC11" s="53"/>
      <c r="AD11" s="53"/>
    </row>
    <row r="12" spans="1:31" x14ac:dyDescent="0.25">
      <c r="B12" s="45"/>
      <c r="C12" s="45"/>
      <c r="D12" s="45"/>
      <c r="E12" s="45"/>
      <c r="F12" s="45"/>
      <c r="G12" s="45"/>
      <c r="H12" s="45"/>
      <c r="I12" s="45"/>
      <c r="J12" s="45"/>
      <c r="K12" s="45"/>
      <c r="L12" s="45"/>
      <c r="M12" s="45"/>
      <c r="N12" s="45"/>
      <c r="O12" s="45"/>
      <c r="P12" s="54"/>
      <c r="Q12" s="54"/>
      <c r="R12" s="54"/>
      <c r="S12" s="53" t="s">
        <v>143</v>
      </c>
      <c r="T12" s="53"/>
      <c r="U12" s="53"/>
      <c r="V12" s="53"/>
      <c r="W12" s="53"/>
      <c r="X12" s="53" t="s">
        <v>146</v>
      </c>
      <c r="Y12" s="53"/>
      <c r="Z12" s="53"/>
      <c r="AA12" s="53"/>
      <c r="AB12" s="53"/>
      <c r="AC12" s="53"/>
      <c r="AD12" s="53"/>
    </row>
    <row r="13" spans="1:31" x14ac:dyDescent="0.25">
      <c r="B13" s="45"/>
      <c r="C13" s="45"/>
      <c r="D13" s="45"/>
      <c r="E13" s="45"/>
      <c r="F13" s="45"/>
      <c r="G13" s="45"/>
      <c r="H13" s="45"/>
      <c r="I13" s="45"/>
      <c r="J13" s="45"/>
      <c r="K13" s="45"/>
      <c r="L13" s="45"/>
      <c r="M13" s="45"/>
      <c r="N13" s="45"/>
      <c r="O13" s="45"/>
      <c r="P13" s="54"/>
      <c r="Q13" s="54"/>
      <c r="R13" s="54"/>
      <c r="S13" s="53" t="s">
        <v>144</v>
      </c>
      <c r="T13" s="53"/>
      <c r="U13" s="53"/>
      <c r="V13" s="53"/>
      <c r="W13" s="53"/>
      <c r="X13" s="53" t="s">
        <v>147</v>
      </c>
      <c r="Y13" s="53"/>
      <c r="Z13" s="53"/>
      <c r="AA13" s="53"/>
      <c r="AB13" s="53"/>
      <c r="AC13" s="53"/>
      <c r="AD13" s="53"/>
      <c r="AE13" s="12" t="s">
        <v>116</v>
      </c>
    </row>
    <row r="14" spans="1:31" x14ac:dyDescent="0.25">
      <c r="P14" s="53" t="s">
        <v>148</v>
      </c>
      <c r="Q14" s="53"/>
      <c r="R14" s="53"/>
      <c r="S14" s="53" t="s">
        <v>149</v>
      </c>
      <c r="T14" s="53"/>
      <c r="U14" s="53"/>
      <c r="V14" s="53"/>
      <c r="W14" s="53"/>
      <c r="X14" s="53" t="s">
        <v>150</v>
      </c>
      <c r="Y14" s="53"/>
      <c r="Z14" s="53"/>
      <c r="AA14" s="53"/>
      <c r="AB14" s="53"/>
      <c r="AC14" s="53"/>
      <c r="AD14" s="53"/>
      <c r="AE14" s="12" t="s">
        <v>256</v>
      </c>
    </row>
    <row r="15" spans="1:31" ht="14.45" customHeight="1" x14ac:dyDescent="0.25">
      <c r="B15" s="45" t="str">
        <f>IF(O4=1,AE19,IF(O4=2,AE15,""))</f>
        <v/>
      </c>
      <c r="C15" s="45"/>
      <c r="D15" s="45"/>
      <c r="E15" s="45"/>
      <c r="F15" s="45"/>
      <c r="G15" s="45"/>
      <c r="H15" s="45"/>
      <c r="I15" s="45"/>
      <c r="J15" s="45"/>
      <c r="K15" s="45"/>
      <c r="L15" s="45"/>
      <c r="M15" s="45"/>
      <c r="N15" s="45"/>
      <c r="O15" s="45"/>
      <c r="AE15" s="12" t="s">
        <v>257</v>
      </c>
    </row>
    <row r="16" spans="1:31" x14ac:dyDescent="0.25">
      <c r="B16" s="45"/>
      <c r="C16" s="45"/>
      <c r="D16" s="45"/>
      <c r="E16" s="45"/>
      <c r="F16" s="45"/>
      <c r="G16" s="45"/>
      <c r="H16" s="45"/>
      <c r="I16" s="45"/>
      <c r="J16" s="45"/>
      <c r="K16" s="45"/>
      <c r="L16" s="45"/>
      <c r="M16" s="45"/>
      <c r="N16" s="45"/>
      <c r="O16" s="45"/>
      <c r="P16" s="1" t="s">
        <v>151</v>
      </c>
      <c r="AE16" s="12" t="s">
        <v>117</v>
      </c>
    </row>
    <row r="17" spans="1:31" x14ac:dyDescent="0.25">
      <c r="B17" s="45"/>
      <c r="C17" s="45"/>
      <c r="D17" s="45"/>
      <c r="E17" s="45"/>
      <c r="F17" s="45"/>
      <c r="G17" s="45"/>
      <c r="H17" s="45"/>
      <c r="I17" s="45"/>
      <c r="J17" s="45"/>
      <c r="K17" s="45"/>
      <c r="L17" s="45"/>
      <c r="M17" s="45"/>
      <c r="N17" s="45"/>
      <c r="O17" s="45"/>
      <c r="AE17" s="12" t="s">
        <v>118</v>
      </c>
    </row>
    <row r="18" spans="1:31" x14ac:dyDescent="0.25">
      <c r="C18" s="1" t="str">
        <f>IF(O4=2,AE16,"")</f>
        <v/>
      </c>
      <c r="AE18" s="12" t="s">
        <v>119</v>
      </c>
    </row>
    <row r="19" spans="1:31" x14ac:dyDescent="0.25">
      <c r="C19" s="45" t="str">
        <f>IF(O4=2,AE17,"")</f>
        <v/>
      </c>
      <c r="D19" s="45"/>
      <c r="E19" s="45"/>
      <c r="F19" s="45"/>
      <c r="G19" s="45"/>
      <c r="H19" s="45"/>
      <c r="I19" s="45"/>
      <c r="J19" s="45"/>
      <c r="K19" s="45"/>
      <c r="L19" s="45"/>
      <c r="M19" s="45"/>
      <c r="AE19" s="12" t="s">
        <v>258</v>
      </c>
    </row>
    <row r="20" spans="1:31" x14ac:dyDescent="0.25">
      <c r="C20" s="45"/>
      <c r="D20" s="45"/>
      <c r="E20" s="45"/>
      <c r="F20" s="45"/>
      <c r="G20" s="45"/>
      <c r="H20" s="45"/>
      <c r="I20" s="45"/>
      <c r="J20" s="45"/>
      <c r="K20" s="45"/>
      <c r="L20" s="45"/>
      <c r="M20" s="45"/>
    </row>
    <row r="22" spans="1:31" x14ac:dyDescent="0.25">
      <c r="A22" s="19" t="str">
        <f>IF(O4=1,"არ არის პენიცილინზე ალერგია ან იდიოსინკრაზია",IF(O4=2,"არ არის პენიცილინზე ალერგია ან იდიოსინკრაზია",""))</f>
        <v/>
      </c>
    </row>
    <row r="24" spans="1:31" x14ac:dyDescent="0.25">
      <c r="B24" s="1" t="str">
        <f>IF(O4=1,AE18,IF(O4=2,AE18,""))</f>
        <v/>
      </c>
    </row>
  </sheetData>
  <sheetProtection algorithmName="SHA-512" hashValue="E17AdRmc2LbG+p1CIR/EMbFY8xUNVp2Ha5mPVKrWoHMFLwEWQzbhdgE1l5VDC7azBhKvJ7hqOYnwPW6c7yFQtg==" saltValue="dmM8CVlY0YEsSSmACK0UEQ==" spinCount="100000" sheet="1" objects="1" scenarios="1"/>
  <mergeCells count="37">
    <mergeCell ref="B7:O9"/>
    <mergeCell ref="B11:O13"/>
    <mergeCell ref="B15:O17"/>
    <mergeCell ref="C19:M20"/>
    <mergeCell ref="A1:O2"/>
    <mergeCell ref="P1:R2"/>
    <mergeCell ref="S1:W2"/>
    <mergeCell ref="X1:AD2"/>
    <mergeCell ref="P3:R3"/>
    <mergeCell ref="S3:W3"/>
    <mergeCell ref="X3:AD3"/>
    <mergeCell ref="S6:W6"/>
    <mergeCell ref="S7:W7"/>
    <mergeCell ref="X6:AD6"/>
    <mergeCell ref="X7:AD7"/>
    <mergeCell ref="P4:R7"/>
    <mergeCell ref="X4:AD4"/>
    <mergeCell ref="S4:W5"/>
    <mergeCell ref="X5:AD5"/>
    <mergeCell ref="S9:W9"/>
    <mergeCell ref="X8:AD8"/>
    <mergeCell ref="X9:AD9"/>
    <mergeCell ref="P8:R9"/>
    <mergeCell ref="P10:R10"/>
    <mergeCell ref="S10:W10"/>
    <mergeCell ref="X10:AD10"/>
    <mergeCell ref="S8:W8"/>
    <mergeCell ref="P14:R14"/>
    <mergeCell ref="S14:W14"/>
    <mergeCell ref="X14:AD14"/>
    <mergeCell ref="S11:W11"/>
    <mergeCell ref="S12:W12"/>
    <mergeCell ref="S13:W13"/>
    <mergeCell ref="P11:R13"/>
    <mergeCell ref="X11:AD11"/>
    <mergeCell ref="X12:AD12"/>
    <mergeCell ref="X13:AD13"/>
  </mergeCells>
  <hyperlinks>
    <hyperlink ref="A1:N2" location="Sheet1!A1" display="საზოგადოებაში შეძენილიი პნევმონიის ემპირიული ანტიბიოტიკოთერაპია ზოგად თერაპიულ განყოფილებაში" xr:uid="{841E600D-58AE-486D-888C-454F464707D8}"/>
  </hyperlinks>
  <pageMargins left="0.7" right="0.7" top="0.75" bottom="0.75" header="0.3" footer="0.3"/>
  <pageSetup paperSize="9" orientation="landscape" horizontalDpi="4294967292"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Drop Down 1">
              <controlPr defaultSize="0" autoLine="0" autoPict="0">
                <anchor moveWithCells="1">
                  <from>
                    <xdr:col>1</xdr:col>
                    <xdr:colOff>581025</xdr:colOff>
                    <xdr:row>2</xdr:row>
                    <xdr:rowOff>180975</xdr:rowOff>
                  </from>
                  <to>
                    <xdr:col>6</xdr:col>
                    <xdr:colOff>571500</xdr:colOff>
                    <xdr:row>4</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5042F-385D-4BDE-B81D-5422C8A8BAA7}">
  <dimension ref="A1:AC54"/>
  <sheetViews>
    <sheetView workbookViewId="0">
      <selection activeCell="C51" sqref="C51"/>
    </sheetView>
  </sheetViews>
  <sheetFormatPr defaultRowHeight="15" x14ac:dyDescent="0.25"/>
  <cols>
    <col min="1" max="16384" width="9" style="1"/>
  </cols>
  <sheetData>
    <row r="1" spans="1:29" x14ac:dyDescent="0.25">
      <c r="A1" s="48" t="s">
        <v>152</v>
      </c>
      <c r="B1" s="48"/>
      <c r="C1" s="48"/>
      <c r="D1" s="48"/>
      <c r="E1" s="48"/>
      <c r="F1" s="48"/>
      <c r="G1" s="48"/>
      <c r="H1" s="48"/>
      <c r="I1" s="48"/>
      <c r="J1" s="48"/>
      <c r="K1" s="48"/>
      <c r="L1" s="48"/>
      <c r="M1" s="48"/>
      <c r="N1" s="48"/>
      <c r="O1" s="20"/>
    </row>
    <row r="2" spans="1:29" x14ac:dyDescent="0.25">
      <c r="A2" s="48"/>
      <c r="B2" s="48"/>
      <c r="C2" s="48"/>
      <c r="D2" s="48"/>
      <c r="E2" s="48"/>
      <c r="F2" s="48"/>
      <c r="G2" s="48"/>
      <c r="H2" s="48"/>
      <c r="I2" s="48"/>
      <c r="J2" s="48"/>
      <c r="K2" s="48"/>
      <c r="L2" s="48"/>
      <c r="M2" s="48"/>
      <c r="N2" s="48"/>
      <c r="O2" s="20"/>
      <c r="AC2" s="1" t="s">
        <v>159</v>
      </c>
    </row>
    <row r="3" spans="1:29" x14ac:dyDescent="0.25">
      <c r="AC3" s="1" t="s">
        <v>0</v>
      </c>
    </row>
    <row r="4" spans="1:29" ht="15" customHeight="1" x14ac:dyDescent="0.25">
      <c r="A4" s="45" t="s">
        <v>153</v>
      </c>
      <c r="B4" s="45"/>
      <c r="C4" s="45"/>
      <c r="D4" s="45"/>
      <c r="E4" s="45"/>
      <c r="F4" s="45"/>
      <c r="G4" s="45"/>
      <c r="H4" s="45"/>
      <c r="I4" s="45"/>
      <c r="J4" s="45"/>
      <c r="K4" s="45"/>
      <c r="L4" s="45"/>
      <c r="M4" s="45"/>
      <c r="N4" s="45"/>
    </row>
    <row r="5" spans="1:29" x14ac:dyDescent="0.25">
      <c r="A5" s="45"/>
      <c r="B5" s="45"/>
      <c r="C5" s="45"/>
      <c r="D5" s="45"/>
      <c r="E5" s="45"/>
      <c r="F5" s="45"/>
      <c r="G5" s="45"/>
      <c r="H5" s="45"/>
      <c r="I5" s="45"/>
      <c r="J5" s="45"/>
      <c r="K5" s="45"/>
      <c r="L5" s="45"/>
      <c r="M5" s="45"/>
      <c r="N5" s="45"/>
    </row>
    <row r="6" spans="1:29" x14ac:dyDescent="0.25">
      <c r="A6" s="45"/>
      <c r="B6" s="45"/>
      <c r="C6" s="45"/>
      <c r="D6" s="45"/>
      <c r="E6" s="45"/>
      <c r="F6" s="45"/>
      <c r="G6" s="45"/>
      <c r="H6" s="45"/>
      <c r="I6" s="45"/>
      <c r="J6" s="45"/>
      <c r="K6" s="45"/>
      <c r="L6" s="45"/>
      <c r="M6" s="45"/>
      <c r="N6" s="45"/>
    </row>
    <row r="8" spans="1:29" x14ac:dyDescent="0.25">
      <c r="A8" s="1" t="s">
        <v>156</v>
      </c>
    </row>
    <row r="9" spans="1:29" x14ac:dyDescent="0.25">
      <c r="B9" s="1" t="s">
        <v>154</v>
      </c>
    </row>
    <row r="10" spans="1:29" x14ac:dyDescent="0.25">
      <c r="B10" s="1" t="s">
        <v>155</v>
      </c>
    </row>
    <row r="11" spans="1:29" x14ac:dyDescent="0.25">
      <c r="B11" s="1" t="s">
        <v>157</v>
      </c>
    </row>
    <row r="12" spans="1:29" x14ac:dyDescent="0.25">
      <c r="B12" s="1" t="s">
        <v>158</v>
      </c>
    </row>
    <row r="13" spans="1:29" x14ac:dyDescent="0.25">
      <c r="H13" s="11"/>
    </row>
    <row r="14" spans="1:29" x14ac:dyDescent="0.25">
      <c r="A14" s="1" t="s">
        <v>160</v>
      </c>
      <c r="H14" s="11">
        <v>1</v>
      </c>
    </row>
    <row r="16" spans="1:29" ht="15" customHeight="1" x14ac:dyDescent="0.25">
      <c r="B16" s="51" t="str">
        <f>IF(H14=3,"თავიდან შეაფასეთ დიაგნოზი. გააგრძელეთ ინტრავენური ანტიბიოტიკოთერაპია;",IF(H14=2,"თუ მიკრობიოლოგიური ტესტი მიუთითებს სპეციფიკურ პათოგენზე, დაიწყეთ პათოგენსპეციფიკური თერაპია;",""))</f>
        <v/>
      </c>
      <c r="C16" s="51"/>
      <c r="D16" s="51"/>
      <c r="E16" s="51"/>
      <c r="F16" s="51"/>
      <c r="G16" s="51"/>
      <c r="H16" s="51"/>
      <c r="I16" s="51"/>
      <c r="J16" s="51"/>
      <c r="K16" s="51"/>
      <c r="L16" s="51"/>
      <c r="M16" s="51"/>
      <c r="N16" s="51"/>
    </row>
    <row r="17" spans="2:14" x14ac:dyDescent="0.25">
      <c r="B17" s="51"/>
      <c r="C17" s="51"/>
      <c r="D17" s="51"/>
      <c r="E17" s="51"/>
      <c r="F17" s="51"/>
      <c r="G17" s="51"/>
      <c r="H17" s="51"/>
      <c r="I17" s="51"/>
      <c r="J17" s="51"/>
      <c r="K17" s="51"/>
      <c r="L17" s="51"/>
      <c r="M17" s="51"/>
      <c r="N17" s="51"/>
    </row>
    <row r="19" spans="2:14" ht="15" customHeight="1" x14ac:dyDescent="0.25">
      <c r="B19" s="51" t="str">
        <f>IF(H14=2,"თუ მიკრობიოლოგიური ტესტი ნეგატიურია და პაციენტი იმყოფებოდა ფთორქინოლონებით ინტრავენურ ინიციალურ თერაპიაზე, დაიწყეთ:","")</f>
        <v/>
      </c>
      <c r="C19" s="51"/>
      <c r="D19" s="51"/>
      <c r="E19" s="51"/>
      <c r="F19" s="51"/>
      <c r="G19" s="51"/>
      <c r="H19" s="51"/>
      <c r="I19" s="51"/>
      <c r="J19" s="51"/>
      <c r="K19" s="51"/>
      <c r="L19" s="51"/>
      <c r="M19" s="51"/>
      <c r="N19" s="51"/>
    </row>
    <row r="20" spans="2:14" x14ac:dyDescent="0.25">
      <c r="B20" s="51"/>
      <c r="C20" s="51"/>
      <c r="D20" s="51"/>
      <c r="E20" s="51"/>
      <c r="F20" s="51"/>
      <c r="G20" s="51"/>
      <c r="H20" s="51"/>
      <c r="I20" s="51"/>
      <c r="J20" s="51"/>
      <c r="K20" s="51"/>
      <c r="L20" s="51"/>
      <c r="M20" s="51"/>
      <c r="N20" s="51"/>
    </row>
    <row r="22" spans="2:14" x14ac:dyDescent="0.25">
      <c r="C22" s="2" t="str">
        <f>IF(H14=2,"ლევოფლოქსაცინი 750 მგ დღეში ერთხელ ","")</f>
        <v/>
      </c>
    </row>
    <row r="23" spans="2:14" x14ac:dyDescent="0.25">
      <c r="C23" s="1" t="str">
        <f>IF(H14=2,"თირკმლის დაავადების შემთხვევაში დოზის კორექციით","")</f>
        <v/>
      </c>
    </row>
    <row r="24" spans="2:14" x14ac:dyDescent="0.25">
      <c r="E24" s="1" t="str">
        <f>IF(H14=2,"ან","")</f>
        <v/>
      </c>
    </row>
    <row r="25" spans="2:14" x14ac:dyDescent="0.25">
      <c r="C25" s="2" t="str">
        <f>IF(H14=2,"მოქსიფლოქსაცინი 400 მგ დღეში ერთხელ ","")</f>
        <v/>
      </c>
    </row>
    <row r="27" spans="2:14" x14ac:dyDescent="0.25">
      <c r="B27" s="51" t="str">
        <f>IF(H14=2,"თუ მიკრობიოლოგიური ტესტი ნეგატიურია და პაციენტი იმყოფებოდა ცეფტრიაქოსნით ან ცეფოტაქსიმი + მაკროლიდით  ინტრავენურ ინიციალურ თერაპიაზე, დაიწყეთ:","")</f>
        <v/>
      </c>
      <c r="C27" s="51"/>
      <c r="D27" s="51"/>
      <c r="E27" s="51"/>
      <c r="F27" s="51"/>
      <c r="G27" s="51"/>
      <c r="H27" s="51"/>
      <c r="I27" s="51"/>
      <c r="J27" s="51"/>
      <c r="K27" s="51"/>
      <c r="L27" s="51"/>
      <c r="M27" s="51"/>
      <c r="N27" s="51"/>
    </row>
    <row r="28" spans="2:14" x14ac:dyDescent="0.25">
      <c r="B28" s="51"/>
      <c r="C28" s="51"/>
      <c r="D28" s="51"/>
      <c r="E28" s="51"/>
      <c r="F28" s="51"/>
      <c r="G28" s="51"/>
      <c r="H28" s="51"/>
      <c r="I28" s="51"/>
      <c r="J28" s="51"/>
      <c r="K28" s="51"/>
      <c r="L28" s="51"/>
      <c r="M28" s="51"/>
      <c r="N28" s="51"/>
    </row>
    <row r="30" spans="2:14" x14ac:dyDescent="0.25">
      <c r="B30" s="1" t="str">
        <f>IF(H14=2,"ჩამოთვლილთაგან რომელიმე: ","")</f>
        <v/>
      </c>
    </row>
    <row r="31" spans="2:14" x14ac:dyDescent="0.25">
      <c r="C31" s="2" t="str">
        <f>IF(H14=2,"ამოქსიცილინი 1გ დღეში სამჯერ","")</f>
        <v/>
      </c>
    </row>
    <row r="32" spans="2:14" x14ac:dyDescent="0.25">
      <c r="C32" s="1" t="str">
        <f>IF(H14=2,"თირკმლის დაავადების შემთხვევაში დოზის კორექციით","")</f>
        <v/>
      </c>
    </row>
    <row r="33" spans="2:14" x14ac:dyDescent="0.25">
      <c r="E33" s="1" t="str">
        <f>IF(H14=2,"ან","")</f>
        <v/>
      </c>
    </row>
    <row r="34" spans="2:14" x14ac:dyDescent="0.25">
      <c r="C34" s="51" t="str">
        <f>IF(H14=2,"ამოქსიცილინ კლავულანატი 2000 მგ (გახანგრძლივებული გამოთავისუფლების) დღში ორჯერ ან 875 მგ დღეში ორჯერ","")</f>
        <v/>
      </c>
      <c r="D34" s="51"/>
      <c r="E34" s="51"/>
      <c r="F34" s="51"/>
      <c r="G34" s="51"/>
      <c r="H34" s="51"/>
      <c r="I34" s="51"/>
      <c r="J34" s="51"/>
      <c r="K34" s="51"/>
      <c r="L34" s="51"/>
      <c r="M34" s="51"/>
      <c r="N34" s="51"/>
    </row>
    <row r="35" spans="2:14" x14ac:dyDescent="0.25">
      <c r="C35" s="51"/>
      <c r="D35" s="51"/>
      <c r="E35" s="51"/>
      <c r="F35" s="51"/>
      <c r="G35" s="51"/>
      <c r="H35" s="51"/>
      <c r="I35" s="51"/>
      <c r="J35" s="51"/>
      <c r="K35" s="51"/>
      <c r="L35" s="51"/>
      <c r="M35" s="51"/>
      <c r="N35" s="51"/>
    </row>
    <row r="36" spans="2:14" x14ac:dyDescent="0.25">
      <c r="E36" s="1" t="str">
        <f>IF(H14=2,"ან","")</f>
        <v/>
      </c>
    </row>
    <row r="37" spans="2:14" x14ac:dyDescent="0.25">
      <c r="C37" s="2" t="str">
        <f>IF(H14=2,"მესამე თაობის ცეფალოსპორინი (მაგ., ცეფპოდოქსიმი) ","")</f>
        <v/>
      </c>
    </row>
    <row r="38" spans="2:14" x14ac:dyDescent="0.25">
      <c r="C38" s="1" t="str">
        <f>IF(H14=2,"თირკმლის დაავადების შემთხვევაში დოზის კორექციით","")</f>
        <v/>
      </c>
    </row>
    <row r="39" spans="2:14" x14ac:dyDescent="0.25">
      <c r="C39" s="45" t="str">
        <f>IF(H14=2,"გააჩნია ცეფტრიაქსონის და ცეფოტაქსიმის მსგავსი პოტენციალი და ენიჭება უპირატესობა ფილტვის სტრუქტურული დაავადების შემთხვევაში და Enterobacteriacea (მაგ., Esherichia coli, Klebsiella spp.) რისკის შემთხვევაში.","")</f>
        <v/>
      </c>
      <c r="D39" s="45"/>
      <c r="E39" s="45"/>
      <c r="F39" s="45"/>
      <c r="G39" s="45"/>
      <c r="H39" s="45"/>
      <c r="I39" s="45"/>
      <c r="J39" s="45"/>
      <c r="K39" s="45"/>
      <c r="L39" s="45"/>
      <c r="M39" s="45"/>
      <c r="N39" s="45"/>
    </row>
    <row r="40" spans="2:14" x14ac:dyDescent="0.25">
      <c r="C40" s="45"/>
      <c r="D40" s="45"/>
      <c r="E40" s="45"/>
      <c r="F40" s="45"/>
      <c r="G40" s="45"/>
      <c r="H40" s="45"/>
      <c r="I40" s="45"/>
      <c r="J40" s="45"/>
      <c r="K40" s="45"/>
      <c r="L40" s="45"/>
      <c r="M40" s="45"/>
      <c r="N40" s="45"/>
    </row>
    <row r="42" spans="2:14" x14ac:dyDescent="0.25">
      <c r="B42" s="1" t="str">
        <f>IF(H14=2,"პლუს ჩამოთვლილთაგან რომელიმე: ","")</f>
        <v/>
      </c>
    </row>
    <row r="43" spans="2:14" x14ac:dyDescent="0.25">
      <c r="C43" s="2" t="str">
        <f>IF(H14=2,"აზითრომიცინი 500 მგ დღეში ერთხელ","")</f>
        <v/>
      </c>
    </row>
    <row r="44" spans="2:14" x14ac:dyDescent="0.25">
      <c r="C44" s="1" t="str">
        <f>IF(H14=2,"არ ინიშნება პაციენტებში QT ინტერვალის პროლონგაციით ან პროლონგაციის რისკ-ფაქტორებით","")</f>
        <v/>
      </c>
    </row>
    <row r="45" spans="2:14" x14ac:dyDescent="0.25">
      <c r="E45" s="1" t="str">
        <f>IF(H14=2,"ან","")</f>
        <v/>
      </c>
    </row>
    <row r="46" spans="2:14" x14ac:dyDescent="0.25">
      <c r="C46" s="2" t="str">
        <f>IF(H14=2,"კლარითრომიცინი 500 მგ დღეში ორჯერ","")</f>
        <v/>
      </c>
    </row>
    <row r="47" spans="2:14" x14ac:dyDescent="0.25">
      <c r="C47" s="1" t="str">
        <f>IF(H14=2,"არ ინიშნება პაციენტებში QT ინტერვალის პროლონგაციით ან პროლონგაციის რისკ-ფაქტორებით","")</f>
        <v/>
      </c>
    </row>
    <row r="48" spans="2:14" x14ac:dyDescent="0.25">
      <c r="C48" s="1" t="str">
        <f>IF(H14=2,"თირკმლის დაავადების შემთხვევაში დოზის კორექციით","")</f>
        <v/>
      </c>
    </row>
    <row r="49" spans="3:5" x14ac:dyDescent="0.25">
      <c r="E49" s="1" t="str">
        <f>IF(H14=2,"ან","")</f>
        <v/>
      </c>
    </row>
    <row r="50" spans="3:5" x14ac:dyDescent="0.25">
      <c r="C50" s="2" t="str">
        <f>IF(H14=2,"კლარითრომიცინი XL დღეში ერთხელ","")</f>
        <v/>
      </c>
    </row>
    <row r="51" spans="3:5" x14ac:dyDescent="0.25">
      <c r="C51" s="1" t="str">
        <f>IF(H14=2,"არ ინიშნება პაციენტებში QT ინტერვალის პროლონგაციით ან პროლონგაციის რისკ-ფაქტორებით","")</f>
        <v/>
      </c>
    </row>
    <row r="52" spans="3:5" x14ac:dyDescent="0.25">
      <c r="C52" s="1" t="str">
        <f>IF(H14=2,"თირკმლის დაავადების შემთხვევაში დოზის კორექციით","")</f>
        <v/>
      </c>
    </row>
    <row r="53" spans="3:5" x14ac:dyDescent="0.25">
      <c r="E53" s="1" t="str">
        <f>IF(H14=2,"ან","")</f>
        <v/>
      </c>
    </row>
    <row r="54" spans="3:5" x14ac:dyDescent="0.25">
      <c r="C54" s="2" t="str">
        <f>IF(H14=2,"დოქსიციკლინი 100 მგ დღეში ორჯერ","")</f>
        <v/>
      </c>
    </row>
  </sheetData>
  <sheetProtection algorithmName="SHA-512" hashValue="UsxBbTTxLg7UBWdShfe0KaOMpWaD0pF0/HU7ILMtWp7lK3ZNNe6TXIiZ1WlfLQjLZC9HMD5/DMmygbNwoXWrow==" saltValue="j3QiWHMp1m8UN8RrnhJmTw==" spinCount="100000" sheet="1" objects="1" scenarios="1"/>
  <mergeCells count="7">
    <mergeCell ref="B27:N28"/>
    <mergeCell ref="C34:N35"/>
    <mergeCell ref="C39:N40"/>
    <mergeCell ref="A1:N2"/>
    <mergeCell ref="A4:N6"/>
    <mergeCell ref="B16:N17"/>
    <mergeCell ref="B19:N20"/>
  </mergeCells>
  <hyperlinks>
    <hyperlink ref="A1:N2" location="Sheet1!A1" display="ინტრავენური ანტიბიოტიკოთერაპიიდან ორალურზე გადაყვანა" xr:uid="{D526BA35-D209-41F8-BA8E-D7D31BEB0491}"/>
  </hyperlinks>
  <pageMargins left="0.7" right="0.7" top="0.75" bottom="0.75" header="0.3" footer="0.3"/>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Drop Down 1">
              <controlPr defaultSize="0" autoLine="0" autoPict="0">
                <anchor moveWithCells="1">
                  <from>
                    <xdr:col>6</xdr:col>
                    <xdr:colOff>676275</xdr:colOff>
                    <xdr:row>13</xdr:row>
                    <xdr:rowOff>9525</xdr:rowOff>
                  </from>
                  <to>
                    <xdr:col>8</xdr:col>
                    <xdr:colOff>85725</xdr:colOff>
                    <xdr:row>14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Main</vt:lpstr>
      <vt:lpstr>Sheet1</vt:lpstr>
      <vt:lpstr>PSI</vt:lpstr>
      <vt:lpstr>CURB</vt:lpstr>
      <vt:lpstr>Empiric GW</vt:lpstr>
      <vt:lpstr>Penicillin</vt:lpstr>
      <vt:lpstr>ICU</vt:lpstr>
      <vt:lpstr>Inpatients</vt:lpstr>
      <vt:lpstr>Switching</vt:lpstr>
      <vt:lpstr>Duration</vt:lpstr>
      <vt:lpstr>Procalcitonin</vt:lpstr>
      <vt:lpstr>Follow-up</vt:lpstr>
      <vt:lpstr>Radiography</vt:lpstr>
      <vt:lpstr>Regimens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2023-07-06T08:42:02Z</dcterms:created>
  <dcterms:modified xsi:type="dcterms:W3CDTF">2023-07-12T06:43:39Z</dcterms:modified>
</cp:coreProperties>
</file>