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9.xml" ContentType="application/vnd.openxmlformats-officedocument.drawing+xml"/>
  <Override PartName="/xl/ctrlProps/ctrlProp10.xml" ContentType="application/vnd.ms-excel.controlproperties+xml"/>
  <Override PartName="/xl/drawings/drawing10.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11.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1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3.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1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1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16.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17.xml" ContentType="application/vnd.openxmlformats-officedocument.drawing+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codeName="Workbook________"/>
  <mc:AlternateContent xmlns:mc="http://schemas.openxmlformats.org/markup-compatibility/2006">
    <mc:Choice Requires="x15">
      <x15ac:absPath xmlns:x15ac="http://schemas.microsoft.com/office/spreadsheetml/2010/11/ac" url="C:\Users\HP\Downloads\EHRA\"/>
    </mc:Choice>
  </mc:AlternateContent>
  <xr:revisionPtr revIDLastSave="0" documentId="13_ncr:1_{2ACC697B-A4CE-47DF-B046-7B3A1EEFF5C4}" xr6:coauthVersionLast="45" xr6:coauthVersionMax="45" xr10:uidLastSave="{00000000-0000-0000-0000-000000000000}"/>
  <bookViews>
    <workbookView xWindow="-110" yWindow="-110" windowWidth="19420" windowHeight="11020" tabRatio="860" xr2:uid="{00000000-000D-0000-FFFF-FFFF00000000}"/>
  </bookViews>
  <sheets>
    <sheet name="Main" sheetId="1" r:id="rId1"/>
    <sheet name="Apixaban" sheetId="2" r:id="rId2"/>
    <sheet name="Dabigatran" sheetId="3" r:id="rId3"/>
    <sheet name="Edoxaban" sheetId="4" r:id="rId4"/>
    <sheet name="Rivaroxaban" sheetId="5" r:id="rId5"/>
    <sheet name="Checklist" sheetId="6" r:id="rId6"/>
    <sheet name="Switching" sheetId="7" r:id="rId7"/>
    <sheet name="Interaction" sheetId="8" r:id="rId8"/>
    <sheet name="GFR" sheetId="9" r:id="rId9"/>
    <sheet name="Liver" sheetId="10" r:id="rId10"/>
    <sheet name="Bleeding" sheetId="11" r:id="rId11"/>
    <sheet name="Surgery" sheetId="12" r:id="rId12"/>
    <sheet name="PCI" sheetId="13" r:id="rId13"/>
    <sheet name="Cardioversion" sheetId="14" r:id="rId14"/>
    <sheet name="TIA" sheetId="15" r:id="rId15"/>
    <sheet name="BMI" sheetId="16" r:id="rId16"/>
    <sheet name="Plat" sheetId="17" r:id="rId17"/>
    <sheet name="Warf" sheetId="1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2" i="13" l="1"/>
  <c r="A30" i="13"/>
  <c r="A28" i="13"/>
  <c r="A25" i="13"/>
  <c r="A22" i="13"/>
  <c r="A20" i="13"/>
  <c r="A17" i="13"/>
  <c r="S22" i="13"/>
  <c r="S14" i="13"/>
  <c r="E7" i="18" l="1"/>
  <c r="S5" i="17"/>
  <c r="S10" i="17"/>
  <c r="S13" i="17"/>
  <c r="S15" i="17"/>
  <c r="S17" i="17"/>
  <c r="S19" i="17"/>
  <c r="S22" i="17"/>
  <c r="S25" i="17"/>
  <c r="S7" i="17"/>
  <c r="S26" i="17" l="1"/>
  <c r="L28" i="17" s="1"/>
  <c r="M32" i="17" s="1"/>
  <c r="N34" i="17" l="1"/>
  <c r="L36" i="17"/>
  <c r="L30" i="17"/>
  <c r="A9" i="17"/>
  <c r="A7" i="17"/>
  <c r="D7" i="16" l="1"/>
  <c r="J9" i="15"/>
  <c r="J14" i="15" s="1"/>
  <c r="J7" i="15"/>
  <c r="A25" i="15"/>
  <c r="A31" i="15"/>
  <c r="A28" i="15"/>
  <c r="A13" i="15"/>
  <c r="A10" i="15"/>
  <c r="A7" i="15"/>
  <c r="C9" i="16" l="1"/>
  <c r="C12" i="16"/>
  <c r="C15" i="16"/>
  <c r="L13" i="15"/>
  <c r="S20" i="14"/>
  <c r="S18" i="14"/>
  <c r="S15" i="14"/>
  <c r="S13" i="14"/>
  <c r="S11" i="14"/>
  <c r="S8" i="14"/>
  <c r="S6" i="14"/>
  <c r="S21" i="14" l="1"/>
  <c r="R23" i="14" s="1"/>
  <c r="R27" i="14" s="1"/>
  <c r="R25" i="14" l="1"/>
  <c r="A7" i="14"/>
  <c r="A24" i="14" l="1"/>
  <c r="A31" i="14" s="1"/>
  <c r="A11" i="14"/>
  <c r="A14" i="14"/>
  <c r="A17" i="14"/>
  <c r="A9" i="14"/>
  <c r="A22" i="14"/>
  <c r="A44" i="14"/>
  <c r="A42" i="14"/>
  <c r="A40" i="14"/>
  <c r="A38" i="14"/>
  <c r="A36" i="14"/>
  <c r="A35" i="14"/>
  <c r="A20" i="14"/>
  <c r="A18" i="14"/>
  <c r="A46" i="14"/>
  <c r="A53" i="14" s="1"/>
  <c r="A50" i="14" l="1"/>
  <c r="A48" i="14"/>
  <c r="S32" i="13"/>
  <c r="S31" i="13"/>
  <c r="S23" i="13"/>
  <c r="S30" i="13"/>
  <c r="S29" i="13"/>
  <c r="S28" i="13"/>
  <c r="S26" i="13"/>
  <c r="S24" i="13"/>
  <c r="S21" i="13"/>
  <c r="S20" i="13"/>
  <c r="S15" i="13"/>
  <c r="S18" i="13"/>
  <c r="S16" i="13"/>
  <c r="S9" i="13"/>
  <c r="S12" i="13"/>
  <c r="S11" i="13"/>
  <c r="S10" i="13"/>
  <c r="S7" i="13"/>
  <c r="A28" i="14" l="1"/>
  <c r="A26" i="14"/>
  <c r="R17" i="13"/>
  <c r="R15" i="13"/>
  <c r="R13" i="13"/>
  <c r="AF21" i="13"/>
  <c r="R11" i="13" s="1"/>
  <c r="AI8" i="13"/>
  <c r="AE21" i="13"/>
  <c r="R9" i="13" s="1"/>
  <c r="AG8" i="13"/>
  <c r="AD21" i="13"/>
  <c r="R7" i="13" s="1"/>
  <c r="AE8" i="13"/>
  <c r="AC21" i="13"/>
  <c r="R5" i="13" s="1"/>
  <c r="AC9" i="13"/>
  <c r="R19" i="13" l="1"/>
  <c r="P22" i="13" s="1"/>
  <c r="P24" i="13" s="1"/>
  <c r="B29" i="13"/>
  <c r="B33" i="13"/>
  <c r="B23" i="13"/>
  <c r="B31" i="13"/>
  <c r="B21" i="13"/>
  <c r="B26" i="13"/>
  <c r="B18" i="13"/>
  <c r="A15" i="13"/>
  <c r="A42" i="13"/>
  <c r="A41" i="13"/>
  <c r="A36" i="13"/>
  <c r="A39" i="13"/>
  <c r="A38" i="13"/>
  <c r="A7" i="13"/>
  <c r="A12" i="13"/>
  <c r="A10" i="13"/>
  <c r="A8" i="13"/>
  <c r="N16" i="12"/>
  <c r="N12" i="12"/>
  <c r="K16" i="12" s="1"/>
  <c r="N10" i="12"/>
  <c r="K10" i="12" l="1"/>
  <c r="K12" i="12"/>
  <c r="A46" i="11"/>
  <c r="A45" i="11"/>
  <c r="A44" i="11"/>
  <c r="C41" i="11"/>
  <c r="C39" i="11"/>
  <c r="C37" i="11"/>
  <c r="I41" i="11"/>
  <c r="I39" i="11"/>
  <c r="I37" i="11"/>
  <c r="F41" i="11"/>
  <c r="F39" i="11"/>
  <c r="F37" i="11"/>
  <c r="C35" i="11"/>
  <c r="F35" i="11"/>
  <c r="A41" i="11"/>
  <c r="A39" i="11"/>
  <c r="A37" i="11"/>
  <c r="A31" i="11"/>
  <c r="A32" i="11"/>
  <c r="A28" i="11"/>
  <c r="A29" i="11"/>
  <c r="A22" i="11"/>
  <c r="A19" i="11"/>
  <c r="A9" i="11"/>
  <c r="A12" i="11"/>
  <c r="A25" i="11"/>
  <c r="A11" i="11"/>
  <c r="A10" i="11"/>
  <c r="A17" i="11"/>
  <c r="A23" i="11"/>
  <c r="A8" i="11"/>
  <c r="A13" i="11"/>
  <c r="A16" i="11"/>
  <c r="A15" i="11"/>
  <c r="A14" i="11"/>
  <c r="A7" i="11"/>
  <c r="U13" i="10"/>
  <c r="U21" i="10"/>
  <c r="T21" i="10"/>
  <c r="U19" i="10"/>
  <c r="T19" i="10"/>
  <c r="U17" i="10"/>
  <c r="T17" i="10"/>
  <c r="U15" i="10"/>
  <c r="T15" i="10"/>
  <c r="S15" i="10"/>
  <c r="S21" i="10"/>
  <c r="S19" i="10"/>
  <c r="S17" i="10"/>
  <c r="T13" i="10"/>
  <c r="S13" i="10"/>
  <c r="A11" i="10"/>
  <c r="A21" i="10" s="1"/>
  <c r="I24" i="10" l="1"/>
  <c r="I26" i="10"/>
  <c r="I28" i="10"/>
  <c r="I30" i="10"/>
  <c r="A24" i="10"/>
  <c r="D19" i="10"/>
  <c r="L19" i="10"/>
  <c r="H17" i="10"/>
  <c r="L17" i="10"/>
  <c r="L21" i="10"/>
  <c r="D21" i="10"/>
  <c r="A28" i="10"/>
  <c r="H19" i="10"/>
  <c r="H21" i="10"/>
  <c r="D17" i="10"/>
  <c r="A26" i="10"/>
  <c r="A30" i="10"/>
  <c r="U23" i="10"/>
  <c r="D24" i="10" s="1"/>
  <c r="K30" i="10" s="1"/>
  <c r="L15" i="10"/>
  <c r="D15" i="10"/>
  <c r="H15" i="10"/>
  <c r="H13" i="10"/>
  <c r="L13" i="10"/>
  <c r="D13" i="10"/>
  <c r="A13" i="10"/>
  <c r="A15" i="10"/>
  <c r="A17" i="10"/>
  <c r="A19" i="10"/>
  <c r="J5" i="9"/>
  <c r="F12" i="9" s="1"/>
  <c r="F14" i="9" s="1"/>
  <c r="F9" i="9"/>
  <c r="A22" i="8"/>
  <c r="C33" i="8"/>
  <c r="C32" i="8"/>
  <c r="C31" i="8"/>
  <c r="C30" i="8"/>
  <c r="C29" i="8"/>
  <c r="C28" i="8"/>
  <c r="C27" i="8"/>
  <c r="C26" i="8"/>
  <c r="C25" i="8"/>
  <c r="C24" i="8"/>
  <c r="C23" i="8"/>
  <c r="C22" i="8"/>
  <c r="C21" i="8"/>
  <c r="C20" i="8"/>
  <c r="C19" i="8"/>
  <c r="A33" i="8"/>
  <c r="A32" i="8"/>
  <c r="A31" i="8"/>
  <c r="A30" i="8"/>
  <c r="A29" i="8"/>
  <c r="A28" i="8"/>
  <c r="A27" i="8"/>
  <c r="A26" i="8"/>
  <c r="A25" i="8"/>
  <c r="A24" i="8"/>
  <c r="A23" i="8"/>
  <c r="A21" i="8"/>
  <c r="A20" i="8"/>
  <c r="A19" i="8"/>
  <c r="K24" i="10" l="1"/>
  <c r="K26" i="10"/>
  <c r="K28" i="10"/>
  <c r="F30" i="10"/>
  <c r="F28" i="10"/>
  <c r="C26" i="10"/>
  <c r="C31" i="9"/>
  <c r="C23" i="9"/>
  <c r="C27" i="9"/>
  <c r="C19" i="9"/>
  <c r="C14" i="9"/>
  <c r="C16" i="9"/>
  <c r="C18" i="8"/>
  <c r="A18" i="8"/>
  <c r="A17" i="8"/>
  <c r="A16" i="8"/>
  <c r="C17" i="8"/>
  <c r="C16" i="8"/>
  <c r="E11" i="8"/>
  <c r="E9" i="8"/>
  <c r="A64" i="7"/>
  <c r="A56" i="7"/>
  <c r="A48" i="7"/>
  <c r="A40" i="7"/>
  <c r="A31" i="7" l="1"/>
  <c r="A28" i="7"/>
  <c r="B13" i="7"/>
  <c r="B12" i="7"/>
  <c r="A10" i="7"/>
  <c r="B11" i="7"/>
  <c r="A25" i="1"/>
</calcChain>
</file>

<file path=xl/sharedStrings.xml><?xml version="1.0" encoding="utf-8"?>
<sst xmlns="http://schemas.openxmlformats.org/spreadsheetml/2006/main" count="957" uniqueCount="473">
  <si>
    <t>ევროპის კარდიოლოგთა საზოგადოება 2021</t>
  </si>
  <si>
    <t>ჩვენების განსაზღვრა</t>
  </si>
  <si>
    <t>სარქვლის მექანიკური პროთეზი</t>
  </si>
  <si>
    <t>ზომიერი/მძიმე მიტრალური სტენოზი (ძირითადად რევმატიული)</t>
  </si>
  <si>
    <t>სხვა მსუბუქი/ზომიერი სარქვლოვანი დაავადება (მაგ., აორტის დეგენერაციული სტენოზი, მიტრალური რეგურგიტაცია და ა.შ.)</t>
  </si>
  <si>
    <t>სარქვლის ბიოპროთეზი (ოპერაციიდან &gt;3 თვის შემდეგ)</t>
  </si>
  <si>
    <t>მძიმე აორტული სტენოზი</t>
  </si>
  <si>
    <t xml:space="preserve">აორტის სარქვლის ტრანსკათეტერული იმპლანტაცია </t>
  </si>
  <si>
    <t xml:space="preserve">კანგავლითი ტრანსლუმინალური აორტული ვალვულოპლასტიკა </t>
  </si>
  <si>
    <t>ჰიპერტროფიული კარდიომიოპათია</t>
  </si>
  <si>
    <t xml:space="preserve">            ძირითდი მონაცემები პირდაპირი ორალური ანტიკოაგულანტების შესახებ</t>
  </si>
  <si>
    <t>აპიქსაბანი</t>
  </si>
  <si>
    <t>დაბიგატრანი</t>
  </si>
  <si>
    <t>ედოქსაბანი</t>
  </si>
  <si>
    <t>რივაროქსაბანი</t>
  </si>
  <si>
    <t xml:space="preserve">          ინსულტის პრევენცია წინაგულების ფიბრილაციის დროს (SPAF)</t>
  </si>
  <si>
    <r>
      <rPr>
        <u/>
        <sz val="11"/>
        <color theme="1"/>
        <rFont val="Calibri"/>
        <family val="2"/>
        <scheme val="minor"/>
      </rPr>
      <t>სტანდარტული დოზა</t>
    </r>
    <r>
      <rPr>
        <sz val="11"/>
        <color theme="1"/>
        <rFont val="Calibri"/>
        <family val="2"/>
        <scheme val="minor"/>
      </rPr>
      <t>: 5 მგ დღეში ორჯერ;</t>
    </r>
  </si>
  <si>
    <r>
      <rPr>
        <u/>
        <sz val="11"/>
        <color theme="1"/>
        <rFont val="Calibri"/>
        <family val="2"/>
        <scheme val="minor"/>
      </rPr>
      <t>კომენტარი</t>
    </r>
    <r>
      <rPr>
        <sz val="11"/>
        <color theme="1"/>
        <rFont val="Calibri"/>
        <family val="2"/>
        <scheme val="minor"/>
      </rPr>
      <t xml:space="preserve">: 2.5 მგ დღეში ორჯერ, თუ არის ქვემოთ ჩამოთვლილთაგან ორი მაინც: </t>
    </r>
  </si>
  <si>
    <r>
      <t xml:space="preserve">სხეულის წონა </t>
    </r>
    <r>
      <rPr>
        <sz val="11"/>
        <color theme="1"/>
        <rFont val="Calibri"/>
        <family val="2"/>
      </rPr>
      <t>≤</t>
    </r>
    <r>
      <rPr>
        <sz val="11"/>
        <color theme="1"/>
        <rFont val="Calibri"/>
        <family val="2"/>
        <scheme val="minor"/>
      </rPr>
      <t>60 კგ;</t>
    </r>
  </si>
  <si>
    <r>
      <t xml:space="preserve">ასაკი </t>
    </r>
    <r>
      <rPr>
        <sz val="11"/>
        <color theme="1"/>
        <rFont val="Calibri"/>
        <family val="2"/>
      </rPr>
      <t>≥</t>
    </r>
    <r>
      <rPr>
        <sz val="11"/>
        <color theme="1"/>
        <rFont val="Calibri"/>
        <family val="2"/>
        <scheme val="minor"/>
      </rPr>
      <t>80 წელი;</t>
    </r>
  </si>
  <si>
    <t>შრატის კრეატინინი ≥133 მკმოლ/ლ (1.5 მგ/დლ)</t>
  </si>
  <si>
    <t>ან</t>
  </si>
  <si>
    <t xml:space="preserve">მხოლოდ კრეატინინის კლირენსის დაქვეითება &lt;15-29 მლ/წთ. </t>
  </si>
  <si>
    <t xml:space="preserve">          წინაგულების ფიბრილაცია პაციენტებში მწვავე კორონარული სინდრომის/ კანგავლითი კორონარული ინტერვენციის შემდგომ (post-ACS/PCI)</t>
  </si>
  <si>
    <t xml:space="preserve">          ღრმა ვენების თრომბოზის/პულმონური ემბოლიზმის მკურნალობა</t>
  </si>
  <si>
    <r>
      <rPr>
        <u/>
        <sz val="11"/>
        <color theme="1"/>
        <rFont val="Calibri"/>
        <family val="2"/>
        <scheme val="minor"/>
      </rPr>
      <t>საწყისი დოზა</t>
    </r>
    <r>
      <rPr>
        <sz val="11"/>
        <color theme="1"/>
        <rFont val="Calibri"/>
        <family val="2"/>
        <scheme val="minor"/>
      </rPr>
      <t>: 10 მგ დღეში ორჯერ, 7 დღე;</t>
    </r>
  </si>
  <si>
    <r>
      <rPr>
        <u/>
        <sz val="11"/>
        <color theme="1"/>
        <rFont val="Calibri"/>
        <family val="2"/>
        <scheme val="minor"/>
      </rPr>
      <t>შემანარჩუნებელი დოზა</t>
    </r>
    <r>
      <rPr>
        <sz val="11"/>
        <color theme="1"/>
        <rFont val="Calibri"/>
        <family val="2"/>
        <scheme val="minor"/>
      </rPr>
      <t>: 5 მგ დღეში ორჯერ, დოზის რედუქციის გარეშე</t>
    </r>
  </si>
  <si>
    <t xml:space="preserve">          ღრმა ვენების რეკურენტული თრომბოზის/რეკურენტული პულმონური ემბოლიზმის ხანგრძლივი პრევენცია</t>
  </si>
  <si>
    <t xml:space="preserve">          ვენური თრომბოემბოლიზმის პრევენცია დიდი ორთოპედიული ოპერაციის შემდგომ</t>
  </si>
  <si>
    <r>
      <rPr>
        <u/>
        <sz val="11"/>
        <color theme="1"/>
        <rFont val="Calibri"/>
        <family val="2"/>
        <scheme val="minor"/>
      </rPr>
      <t>სტანდარტული დოზა</t>
    </r>
    <r>
      <rPr>
        <sz val="11"/>
        <color theme="1"/>
        <rFont val="Calibri"/>
        <family val="2"/>
        <scheme val="minor"/>
      </rPr>
      <t>: 2.5 მგ დღეში ორჯერ</t>
    </r>
  </si>
  <si>
    <r>
      <rPr>
        <u/>
        <sz val="11"/>
        <color theme="1"/>
        <rFont val="Calibri"/>
        <family val="2"/>
        <scheme val="minor"/>
      </rPr>
      <t>კომენტარი</t>
    </r>
    <r>
      <rPr>
        <sz val="11"/>
        <color theme="1"/>
        <rFont val="Calibri"/>
        <family val="2"/>
        <scheme val="minor"/>
      </rPr>
      <t xml:space="preserve">: 2.5 მგ დღეში ორჯერ, თუ არის ქვემოთ ჩამოთვლილთაგან </t>
    </r>
    <r>
      <rPr>
        <u/>
        <sz val="11"/>
        <color theme="1"/>
        <rFont val="Calibri"/>
        <family val="2"/>
        <scheme val="minor"/>
      </rPr>
      <t>ორი მაინც</t>
    </r>
    <r>
      <rPr>
        <sz val="11"/>
        <color theme="1"/>
        <rFont val="Calibri"/>
        <family val="2"/>
        <scheme val="minor"/>
      </rPr>
      <t xml:space="preserve">: </t>
    </r>
  </si>
  <si>
    <r>
      <rPr>
        <u/>
        <sz val="11"/>
        <color theme="1"/>
        <rFont val="Calibri"/>
        <family val="2"/>
        <scheme val="minor"/>
      </rPr>
      <t>მხოლოდ</t>
    </r>
    <r>
      <rPr>
        <sz val="11"/>
        <color theme="1"/>
        <rFont val="Calibri"/>
        <family val="2"/>
        <scheme val="minor"/>
      </rPr>
      <t xml:space="preserve"> კრეატინინის კლირენსის დაქვეითება &lt;15-29 მლ/წთ. </t>
    </r>
  </si>
  <si>
    <t>* აპიქსაბანი</t>
  </si>
  <si>
    <t>* დაბიგატრანი</t>
  </si>
  <si>
    <t>* ედოქსაბანი</t>
  </si>
  <si>
    <t>* რივაროქსაბანი</t>
  </si>
  <si>
    <r>
      <rPr>
        <u/>
        <sz val="11"/>
        <color theme="1"/>
        <rFont val="Calibri"/>
        <family val="2"/>
        <scheme val="minor"/>
      </rPr>
      <t>სტანდარტული დოზა</t>
    </r>
    <r>
      <rPr>
        <sz val="11"/>
        <color theme="1"/>
        <rFont val="Calibri"/>
        <family val="2"/>
        <scheme val="minor"/>
      </rPr>
      <t>: 150 ან 110 მგ დღეში ორჯერ.</t>
    </r>
  </si>
  <si>
    <r>
      <rPr>
        <u/>
        <sz val="11"/>
        <color theme="1"/>
        <rFont val="Calibri"/>
        <family val="2"/>
        <scheme val="minor"/>
      </rPr>
      <t>საწყისი მკურნალობა</t>
    </r>
    <r>
      <rPr>
        <sz val="11"/>
        <color theme="1"/>
        <rFont val="Calibri"/>
        <family val="2"/>
        <scheme val="minor"/>
      </rPr>
      <t>: ჰეპარინი ან დაბალმოლეკულური ჰეპარინი</t>
    </r>
  </si>
  <si>
    <r>
      <rPr>
        <u/>
        <sz val="11"/>
        <color theme="1"/>
        <rFont val="Calibri"/>
        <family val="2"/>
        <scheme val="minor"/>
      </rPr>
      <t>შემანარჩუნებელი დოზა</t>
    </r>
    <r>
      <rPr>
        <sz val="11"/>
        <color theme="1"/>
        <rFont val="Calibri"/>
        <family val="2"/>
        <scheme val="minor"/>
      </rPr>
      <t>: 150 მგ დღეში ორჯერ, დოზის რედუქციის გარეშე</t>
    </r>
  </si>
  <si>
    <r>
      <rPr>
        <u/>
        <sz val="11"/>
        <color theme="1"/>
        <rFont val="Calibri"/>
        <family val="2"/>
        <scheme val="minor"/>
      </rPr>
      <t>სტანდარტული დოზა</t>
    </r>
    <r>
      <rPr>
        <sz val="11"/>
        <color theme="1"/>
        <rFont val="Calibri"/>
        <family val="2"/>
        <scheme val="minor"/>
      </rPr>
      <t>: 150 მგ დღეში ორჯერ</t>
    </r>
  </si>
  <si>
    <r>
      <rPr>
        <u/>
        <sz val="11"/>
        <color theme="1"/>
        <rFont val="Calibri"/>
        <family val="2"/>
        <scheme val="minor"/>
      </rPr>
      <t>სტანდარტული დოზა</t>
    </r>
    <r>
      <rPr>
        <sz val="11"/>
        <color theme="1"/>
        <rFont val="Calibri"/>
        <family val="2"/>
        <scheme val="minor"/>
      </rPr>
      <t>: 220 მგ ან 150 მგ დღეში ერთჯერ</t>
    </r>
  </si>
  <si>
    <r>
      <rPr>
        <u/>
        <sz val="11"/>
        <color theme="1"/>
        <rFont val="Calibri"/>
        <family val="2"/>
        <scheme val="minor"/>
      </rPr>
      <t>სტანდარტული დოზა</t>
    </r>
    <r>
      <rPr>
        <sz val="11"/>
        <color theme="1"/>
        <rFont val="Calibri"/>
        <family val="2"/>
        <scheme val="minor"/>
      </rPr>
      <t>: 150 ან 110 მგ დღეში ორჯერ</t>
    </r>
  </si>
  <si>
    <r>
      <rPr>
        <u/>
        <sz val="11"/>
        <color theme="1"/>
        <rFont val="Calibri"/>
        <family val="2"/>
        <scheme val="minor"/>
      </rPr>
      <t>სტანდარტული დოზა</t>
    </r>
    <r>
      <rPr>
        <sz val="11"/>
        <color theme="1"/>
        <rFont val="Calibri"/>
        <family val="2"/>
        <scheme val="minor"/>
      </rPr>
      <t>: 60 მგ დღეში ერთჯერ;</t>
    </r>
  </si>
  <si>
    <r>
      <rPr>
        <u/>
        <sz val="11"/>
        <color theme="1"/>
        <rFont val="Calibri"/>
        <family val="2"/>
        <scheme val="minor"/>
      </rPr>
      <t>კომენტარი</t>
    </r>
    <r>
      <rPr>
        <sz val="11"/>
        <color theme="1"/>
        <rFont val="Calibri"/>
        <family val="2"/>
        <scheme val="minor"/>
      </rPr>
      <t xml:space="preserve">: 30 მგ დღეში ორჯერ, თუ არის ქვემოთ ჩამოთვლილთაგან ორი მაინც: </t>
    </r>
  </si>
  <si>
    <t>კრეატინინის კლირენსი =15-49 მლ/წთ</t>
  </si>
  <si>
    <t xml:space="preserve">P-გლიკოპროტეინის  მძლავრი ინჰიბიტორით (P-Gpi) თანმხლები თერაპია </t>
  </si>
  <si>
    <r>
      <rPr>
        <u/>
        <sz val="11"/>
        <color theme="1"/>
        <rFont val="Calibri"/>
        <family val="2"/>
        <scheme val="minor"/>
      </rPr>
      <t>შემანარჩუნებელი დოზა</t>
    </r>
    <r>
      <rPr>
        <sz val="11"/>
        <color theme="1"/>
        <rFont val="Calibri"/>
        <family val="2"/>
        <scheme val="minor"/>
      </rPr>
      <t>: 60 მგ დღეში ერთჯერ და დოზის რედუქიცა ისე, როგორც მოცემულია SPAF-ის დროს</t>
    </r>
  </si>
  <si>
    <r>
      <rPr>
        <u/>
        <sz val="11"/>
        <color theme="1"/>
        <rFont val="Calibri"/>
        <family val="2"/>
        <scheme val="minor"/>
      </rPr>
      <t>სტანდარტული დოზა</t>
    </r>
    <r>
      <rPr>
        <sz val="11"/>
        <color theme="1"/>
        <rFont val="Calibri"/>
        <family val="2"/>
        <scheme val="minor"/>
      </rPr>
      <t>: 60 მგ დღეში ერთჯერ</t>
    </r>
  </si>
  <si>
    <r>
      <rPr>
        <u/>
        <sz val="11"/>
        <color theme="1"/>
        <rFont val="Calibri"/>
        <family val="2"/>
        <scheme val="minor"/>
      </rPr>
      <t>სტანდარტული დოზა</t>
    </r>
    <r>
      <rPr>
        <sz val="11"/>
        <color theme="1"/>
        <rFont val="Calibri"/>
        <family val="2"/>
        <scheme val="minor"/>
      </rPr>
      <t>: 30 მგ დღეში ერთჯერ (არ არის ნებადართული ევროპაში)</t>
    </r>
  </si>
  <si>
    <r>
      <rPr>
        <u/>
        <sz val="11"/>
        <color theme="1"/>
        <rFont val="Calibri"/>
        <family val="2"/>
        <scheme val="minor"/>
      </rPr>
      <t>სტანდარტული დოზა</t>
    </r>
    <r>
      <rPr>
        <sz val="11"/>
        <color theme="1"/>
        <rFont val="Calibri"/>
        <family val="2"/>
        <scheme val="minor"/>
      </rPr>
      <t>: 20 მგ დღეში ერთჯერ;</t>
    </r>
  </si>
  <si>
    <r>
      <rPr>
        <u/>
        <sz val="11"/>
        <color theme="1"/>
        <rFont val="Calibri"/>
        <family val="2"/>
        <scheme val="minor"/>
      </rPr>
      <t>კომენტარი</t>
    </r>
    <r>
      <rPr>
        <sz val="11"/>
        <color theme="1"/>
        <rFont val="Calibri"/>
        <family val="2"/>
        <scheme val="minor"/>
      </rPr>
      <t>: 15 მგ დღეში ერთჯერ, თუ არის კრეატინინის კლირენსის დაქვეითება ≤15-49 მლ/წთ.</t>
    </r>
  </si>
  <si>
    <r>
      <rPr>
        <u/>
        <sz val="11"/>
        <color theme="1"/>
        <rFont val="Calibri"/>
        <family val="2"/>
        <scheme val="minor"/>
      </rPr>
      <t>სტანდარტული დოზა</t>
    </r>
    <r>
      <rPr>
        <sz val="11"/>
        <color theme="1"/>
        <rFont val="Calibri"/>
        <family val="2"/>
        <scheme val="minor"/>
      </rPr>
      <t>: 15 მგ დღეში ერთჯერ;</t>
    </r>
  </si>
  <si>
    <r>
      <rPr>
        <u/>
        <sz val="11"/>
        <color theme="1"/>
        <rFont val="Calibri"/>
        <family val="2"/>
        <scheme val="minor"/>
      </rPr>
      <t>კომენტარი</t>
    </r>
    <r>
      <rPr>
        <sz val="11"/>
        <color theme="1"/>
        <rFont val="Calibri"/>
        <family val="2"/>
        <scheme val="minor"/>
      </rPr>
      <t>: 10 მგ დღეში ერთჯერ, თუ კრეატინინის კლირენსი = 30-49 მლ/წთ.</t>
    </r>
  </si>
  <si>
    <r>
      <rPr>
        <u/>
        <sz val="11"/>
        <color theme="1"/>
        <rFont val="Calibri"/>
        <family val="2"/>
        <scheme val="minor"/>
      </rPr>
      <t>საწყისი დოზა</t>
    </r>
    <r>
      <rPr>
        <sz val="11"/>
        <color theme="1"/>
        <rFont val="Calibri"/>
        <family val="2"/>
        <scheme val="minor"/>
      </rPr>
      <t>: 15 მგ დღეში ორჯერ, 21 დღე;</t>
    </r>
  </si>
  <si>
    <r>
      <rPr>
        <u/>
        <sz val="11"/>
        <color theme="1"/>
        <rFont val="Calibri"/>
        <family val="2"/>
        <scheme val="minor"/>
      </rPr>
      <t>შემანარჩუნებელი დოზა</t>
    </r>
    <r>
      <rPr>
        <sz val="11"/>
        <color theme="1"/>
        <rFont val="Calibri"/>
        <family val="2"/>
        <scheme val="minor"/>
      </rPr>
      <t>: 20 მგ დღეში ერთჯერ, დოზის რედუქციის გარეშე</t>
    </r>
  </si>
  <si>
    <r>
      <rPr>
        <u/>
        <sz val="11"/>
        <color theme="1"/>
        <rFont val="Calibri"/>
        <family val="2"/>
        <scheme val="minor"/>
      </rPr>
      <t>სტანდარტული დოზა</t>
    </r>
    <r>
      <rPr>
        <sz val="11"/>
        <color theme="1"/>
        <rFont val="Calibri"/>
        <family val="2"/>
        <scheme val="minor"/>
      </rPr>
      <t>: 10 მგ დღეში ერთჯერ</t>
    </r>
  </si>
  <si>
    <t xml:space="preserve">          მწვავე კორონარული სინდრომის შემდგომ ათეროთრომბოზული გართულებების მეორადი პრევენცია პაციენტებში წინაგულების ფიბრილაციის ან OAC-ების ჩვენების გარეშე</t>
  </si>
  <si>
    <r>
      <rPr>
        <u/>
        <sz val="11"/>
        <color theme="1"/>
        <rFont val="Calibri"/>
        <family val="2"/>
        <scheme val="minor"/>
      </rPr>
      <t>სტანდარტული დოზა</t>
    </r>
    <r>
      <rPr>
        <sz val="11"/>
        <color theme="1"/>
        <rFont val="Calibri"/>
        <family val="2"/>
        <scheme val="minor"/>
      </rPr>
      <t xml:space="preserve">: 2.5 მგ დღეში ორჯერ, ასპირინთან ან ორმაგ ანტიაგრეგანტთან კომბინაციაში (ასპირინი </t>
    </r>
    <r>
      <rPr>
        <sz val="11"/>
        <color theme="1"/>
        <rFont val="Calibri"/>
        <family val="2"/>
      </rPr>
      <t>±</t>
    </r>
    <r>
      <rPr>
        <sz val="11"/>
        <color theme="1"/>
        <rFont val="Calibri"/>
        <family val="2"/>
        <scheme val="minor"/>
      </rPr>
      <t xml:space="preserve"> P2Y12 ინჰიბიტორი)</t>
    </r>
  </si>
  <si>
    <t xml:space="preserve">          ათეროთრომბოზული გართულებების მეორადი პრევენცია პაციენტებში ქრონიკული კორონრული სინდრომით ანდა პერიფერიული არტერიების სიმპტომური დაავადებით, წინაგულების ფიბრილაციის ან OAC-ების ჩვენების გარეშე</t>
  </si>
  <si>
    <r>
      <rPr>
        <u/>
        <sz val="11"/>
        <color theme="1"/>
        <rFont val="Calibri"/>
        <family val="2"/>
        <scheme val="minor"/>
      </rPr>
      <t>სტანდარტული დოზა</t>
    </r>
    <r>
      <rPr>
        <sz val="11"/>
        <color theme="1"/>
        <rFont val="Calibri"/>
        <family val="2"/>
        <scheme val="minor"/>
      </rPr>
      <t>: 2.5 მგ დღეში ორჯერ, ასპირინთან კომბინაციაში</t>
    </r>
  </si>
  <si>
    <t xml:space="preserve">            შემდგომი დაკვირვების საკონტროლო პუნქტების ჩამონათვალი </t>
  </si>
  <si>
    <t>შემდგომი დაკვირვების საკონტროლო პუნქტების ჩამონათვალი</t>
  </si>
  <si>
    <r>
      <rPr>
        <u/>
        <sz val="11"/>
        <color theme="1"/>
        <rFont val="Calibri"/>
        <family val="2"/>
        <scheme val="minor"/>
      </rPr>
      <t>ჩამონათვალი</t>
    </r>
    <r>
      <rPr>
        <sz val="11"/>
        <color theme="1"/>
        <rFont val="Calibri"/>
        <family val="2"/>
        <scheme val="minor"/>
      </rPr>
      <t>: პაციენტის კოგნიტიური ფუნქციის შეფასება, მიმდევრობის მნიშვნელობაზე აქცენტირება, ინსტრუქტაჟი მცირე სისხლდენის (ღრძილებიდან, ეპისტაქსისი, მცირე ექკიმოზები) დროს ექიმთან კონსულტაციის გარეშე წამლის მიღების შეწყვეტის მიუღებლობის თაობაზე.</t>
    </r>
  </si>
  <si>
    <r>
      <rPr>
        <u/>
        <sz val="11"/>
        <color theme="1"/>
        <rFont val="Calibri"/>
        <family val="2"/>
        <scheme val="minor"/>
      </rPr>
      <t>ჩამონათვალი</t>
    </r>
    <r>
      <rPr>
        <sz val="11"/>
        <color theme="1"/>
        <rFont val="Calibri"/>
        <family val="2"/>
        <scheme val="minor"/>
      </rPr>
      <t>:</t>
    </r>
  </si>
  <si>
    <t>* სისტემური ცირკულაცია (ტრანზიტული იშემია, ინსულტი, პერიფერიული);</t>
  </si>
  <si>
    <t>* ღრმა ვენების თრომბოზი, პულმონური ემბოლიზმი.</t>
  </si>
  <si>
    <r>
      <t xml:space="preserve">          თრომბოემბოლიზმი </t>
    </r>
    <r>
      <rPr>
        <sz val="11"/>
        <color theme="1"/>
        <rFont val="Calibri"/>
        <family val="2"/>
        <scheme val="minor"/>
      </rPr>
      <t xml:space="preserve"> - ყოველ ვიზიტზე</t>
    </r>
  </si>
  <si>
    <r>
      <t xml:space="preserve">          სისხლდენა </t>
    </r>
    <r>
      <rPr>
        <sz val="11"/>
        <color theme="1"/>
        <rFont val="Calibri"/>
        <family val="2"/>
        <scheme val="minor"/>
      </rPr>
      <t xml:space="preserve"> - ყოველ ვიზიტზე</t>
    </r>
  </si>
  <si>
    <r>
      <t xml:space="preserve">          სხვა გვერდითი მოვლენები</t>
    </r>
    <r>
      <rPr>
        <sz val="11"/>
        <color theme="1"/>
        <rFont val="Calibri"/>
        <family val="2"/>
        <scheme val="minor"/>
      </rPr>
      <t xml:space="preserve">  - ყოველ ვიზიტზე</t>
    </r>
  </si>
  <si>
    <r>
      <t xml:space="preserve">          წამალთა ურთიერთქმედება</t>
    </r>
    <r>
      <rPr>
        <sz val="11"/>
        <color theme="1"/>
        <rFont val="Calibri"/>
        <family val="2"/>
        <scheme val="minor"/>
      </rPr>
      <t xml:space="preserve">  - ყოველ ვიზიტზე</t>
    </r>
  </si>
  <si>
    <t xml:space="preserve">          სისხლის საერთო ანალიზი, თირკმლის და ღვიძლის ფუნქციები - ყოველწლიურად, გარდა ქვემოთ ჩამოთვლილისა:</t>
  </si>
  <si>
    <r>
      <t xml:space="preserve">* </t>
    </r>
    <r>
      <rPr>
        <u/>
        <sz val="11"/>
        <color theme="1"/>
        <rFont val="Calibri"/>
        <family val="2"/>
        <scheme val="minor"/>
      </rPr>
      <t>ყოველ 4 თვეში</t>
    </r>
    <r>
      <rPr>
        <sz val="11"/>
        <color theme="1"/>
        <rFont val="Calibri"/>
        <family val="2"/>
        <scheme val="minor"/>
      </rPr>
      <t xml:space="preserve"> თუ ასაკი ≥75 წელი (განსაკუთრებით, დაბიგატრანის მიღებისას) ან დაუძლურებული პაციენტის შემთხვევაში;</t>
    </r>
  </si>
  <si>
    <r>
      <t xml:space="preserve">* </t>
    </r>
    <r>
      <rPr>
        <u/>
        <sz val="11"/>
        <color theme="1"/>
        <rFont val="Calibri"/>
        <family val="2"/>
        <scheme val="minor"/>
      </rPr>
      <t>საჭიროების მიხედვით</t>
    </r>
    <r>
      <rPr>
        <sz val="11"/>
        <color theme="1"/>
        <rFont val="Calibri"/>
        <family val="2"/>
        <scheme val="minor"/>
      </rPr>
      <t xml:space="preserve"> თირკმლის ან ღვიძლის ფუნქციაზე ზეგავლენის მქონე ფაქტორების (მაგ., ინფექცია, არასტეროიდული ანთებისსაწინააღმდეგო საშუალებები, დჰიდრატაცია და ა.შ.) არსებობის შემთხვევაში.</t>
    </r>
  </si>
  <si>
    <r>
      <t xml:space="preserve">* </t>
    </r>
    <r>
      <rPr>
        <u/>
        <sz val="11"/>
        <color theme="1"/>
        <rFont val="Calibri"/>
        <family val="2"/>
        <scheme val="minor"/>
      </rPr>
      <t>ცვლადი ინტერვალით</t>
    </r>
    <r>
      <rPr>
        <sz val="11"/>
        <color theme="1"/>
        <rFont val="Calibri"/>
        <family val="2"/>
        <scheme val="minor"/>
      </rPr>
      <t xml:space="preserve"> თუ კრეატინინის კლირენსი </t>
    </r>
    <r>
      <rPr>
        <sz val="11"/>
        <color theme="1"/>
        <rFont val="Calibri"/>
        <family val="2"/>
      </rPr>
      <t>≤60 მლ/წთ;</t>
    </r>
  </si>
  <si>
    <r>
      <t xml:space="preserve">          ინსულტი რისკის შეფასება</t>
    </r>
    <r>
      <rPr>
        <sz val="11"/>
        <color theme="1"/>
        <rFont val="Calibri"/>
        <family val="2"/>
        <scheme val="minor"/>
      </rPr>
      <t xml:space="preserve">  - ყოველ ვიზიტზე</t>
    </r>
  </si>
  <si>
    <r>
      <t>* CHA</t>
    </r>
    <r>
      <rPr>
        <vertAlign val="subscript"/>
        <sz val="11"/>
        <color theme="1"/>
        <rFont val="Calibri"/>
        <family val="2"/>
        <scheme val="minor"/>
      </rPr>
      <t>2</t>
    </r>
    <r>
      <rPr>
        <sz val="11"/>
        <color theme="1"/>
        <rFont val="Calibri"/>
        <family val="2"/>
        <scheme val="minor"/>
      </rPr>
      <t>DS</t>
    </r>
    <r>
      <rPr>
        <vertAlign val="subscript"/>
        <sz val="11"/>
        <color theme="1"/>
        <rFont val="Calibri"/>
        <family val="2"/>
        <scheme val="minor"/>
      </rPr>
      <t>2</t>
    </r>
    <r>
      <rPr>
        <sz val="11"/>
        <color theme="1"/>
        <rFont val="Calibri"/>
        <family val="2"/>
        <scheme val="minor"/>
      </rPr>
      <t>-VASc ქულის გამოთვლა</t>
    </r>
  </si>
  <si>
    <t>* გაუკონტროლებელი ჰიპერტენზია (სისტოლური წნევა &gt;160 mmHg);</t>
  </si>
  <si>
    <t>* სისხლდენებისადმი განმწყობი მედიკამენტები (მაგ., ასპირინი, არასტეროდიები)</t>
  </si>
  <si>
    <t>* ვიტამინი K-ს ანტაგონისტის შემთხვევაში ლაბილური INR;</t>
  </si>
  <si>
    <t>* ალკოჰოლის ჭარბი მიღება;</t>
  </si>
  <si>
    <t>* დაცემა.</t>
  </si>
  <si>
    <r>
      <t xml:space="preserve">          ოპტიმალური NOAC-ის და ოპტიმალური დოზის შერჩევა</t>
    </r>
    <r>
      <rPr>
        <sz val="11"/>
        <color theme="1"/>
        <rFont val="Calibri"/>
        <family val="2"/>
        <scheme val="minor"/>
      </rPr>
      <t xml:space="preserve">  - ყოველ ვიზიტზე</t>
    </r>
  </si>
  <si>
    <t xml:space="preserve">            ანტიკოაგულაციური რეჟიმებს შორის გადართვა (switching)</t>
  </si>
  <si>
    <t>ანტიკოაგულაციურ რეჟიმებს შორის გადართვა (switching)</t>
  </si>
  <si>
    <r>
      <t xml:space="preserve">          ვიტამინი K-ს ანტაგონისტის გადართვა არავიტამინ K-ს ანტაგონისტურ ორალურ ანტიკოაგულანტზე ანუ </t>
    </r>
    <r>
      <rPr>
        <b/>
        <sz val="11"/>
        <color rgb="FFFF0000"/>
        <rFont val="Calibri"/>
        <family val="2"/>
        <scheme val="minor"/>
      </rPr>
      <t>VKA -----&gt;NOAC</t>
    </r>
  </si>
  <si>
    <t xml:space="preserve">INR </t>
  </si>
  <si>
    <t>≥3.0</t>
  </si>
  <si>
    <t>&lt;3.0 და &gt;2.5</t>
  </si>
  <si>
    <t>≤2.5 და ≥2.0</t>
  </si>
  <si>
    <t>&lt;2.0</t>
  </si>
  <si>
    <r>
      <t xml:space="preserve">          არავიტამინ K-ს ანტაგონისტური ორალური ანტიკოაგულანტის გადართვა ვიტამინი K-ს ანტაგონისტზე  ანუ </t>
    </r>
    <r>
      <rPr>
        <b/>
        <sz val="11"/>
        <color rgb="FFFF0000"/>
        <rFont val="Calibri"/>
        <family val="2"/>
        <scheme val="minor"/>
      </rPr>
      <t>NOAC -----&gt;VKA</t>
    </r>
  </si>
  <si>
    <t>გაგრძელდეს NOAC-ის მიღება ჩვეული დოზით (დოზა ნახევრდება ედოქსაბანის შემთხვევაში) და დაამატეთ VKA (დატვირთვის დოზა, მხოლოდ ფენპროკუმონის შემთხვევაში)</t>
  </si>
  <si>
    <t>გადაიმეორეთ INR კომბინირებული თერაპიის დაწყებიდან 3-5 დღეში, NOAC-ის მორიგი დოზის მიღებამდე</t>
  </si>
  <si>
    <t>თუ INR</t>
  </si>
  <si>
    <t>&lt;2</t>
  </si>
  <si>
    <t>&gt;2</t>
  </si>
  <si>
    <t>NOAC-ის მიღების ჯერადობა</t>
  </si>
  <si>
    <t>დღეში ორჯერ</t>
  </si>
  <si>
    <t>დღეში ერთჯერ</t>
  </si>
  <si>
    <r>
      <t xml:space="preserve">          არავიტამინ K-ს ანტაგონისტური ორალური ანტიკოაგულანტის გადართვა პარენტერალურ ჰეპარინზე ანუ </t>
    </r>
    <r>
      <rPr>
        <b/>
        <sz val="11"/>
        <color rgb="FFFF0000"/>
        <rFont val="Calibri"/>
        <family val="2"/>
        <scheme val="minor"/>
      </rPr>
      <t>NOAC -----&gt;LMWH ან UFH</t>
    </r>
  </si>
  <si>
    <r>
      <t xml:space="preserve">         პარენტერალური ჰეპარინიდან არავიტამინ K-ს ანტაგონისტურ ორალურ ანტიკოაგულანტზე გადართვა ანუ </t>
    </r>
    <r>
      <rPr>
        <b/>
        <sz val="11"/>
        <color rgb="FFFF0000"/>
        <rFont val="Calibri"/>
        <family val="2"/>
        <scheme val="minor"/>
      </rPr>
      <t>LMWH ან UFH-----&gt;NOAC</t>
    </r>
  </si>
  <si>
    <t>პარენტერალური ჰეპარინის ტიპი</t>
  </si>
  <si>
    <t>არაფრაქციურებული ჰეპარინი</t>
  </si>
  <si>
    <t>დაბალმოლეკულური ჰეპარინი</t>
  </si>
  <si>
    <r>
      <t xml:space="preserve">         არავიტამინ K-ს ანტაგონისტური ორალური ანტიკოაგულანტის ალტერნატიულზე გადართვა ანუ  </t>
    </r>
    <r>
      <rPr>
        <b/>
        <sz val="11"/>
        <color rgb="FFFF0000"/>
        <rFont val="Calibri"/>
        <family val="2"/>
        <scheme val="minor"/>
      </rPr>
      <t>NOAC-----&gt;NOAC</t>
    </r>
  </si>
  <si>
    <t>ერთჯერადად მისაღები NOAC-იდან, ოჯერადად მისაღებ NOAC-ზე გადასვლა</t>
  </si>
  <si>
    <t>ორჯერადად მისაღები NOAC-იდან, ერთჯერადად მისაღებ NOAC-ზე გადასვლა</t>
  </si>
  <si>
    <t>ალტერნაცია</t>
  </si>
  <si>
    <r>
      <t xml:space="preserve">         ასპირინიდან ანდა კლოპიდოგრელიდან არავიტამინ K-ს ანტაგონისტურ ორალურ ანტიკოაგულანტზე გადართვა ანუ  </t>
    </r>
    <r>
      <rPr>
        <b/>
        <sz val="11"/>
        <color rgb="FFFF0000"/>
        <rFont val="Calibri"/>
        <family val="2"/>
        <scheme val="minor"/>
      </rPr>
      <t>APA-----&gt;NOAC</t>
    </r>
  </si>
  <si>
    <t>სვიჩინგის ტიპი</t>
  </si>
  <si>
    <t xml:space="preserve">ასპირინიდან NOAC-ზე გადასვლა </t>
  </si>
  <si>
    <t>კლოპიდოგრელიდან NOAC-ზე გადსვლა</t>
  </si>
  <si>
    <t xml:space="preserve">            წამალების და კლინიკური ფაქტორების ზეგავლენა NOAC-ის კონცენტრაციაზე და ანტიკოაგულაციურ ეფექტზე</t>
  </si>
  <si>
    <t>წამლების და ფიზიკური ფაქტორების ზეგავლენა NOAC-ის კონცენტრაციაზე და ანტიკოაგულაციურ ეფექტზე</t>
  </si>
  <si>
    <t>NOAC</t>
  </si>
  <si>
    <t>P-gp სუბსტრატზე ზემოქმედება</t>
  </si>
  <si>
    <t>CYP3A4 სუბსტრატზე ზემოქმედება</t>
  </si>
  <si>
    <t>ანიარითმული მედიკამენტები</t>
  </si>
  <si>
    <t>ამიოდარონი</t>
  </si>
  <si>
    <t>დიგოქსინი</t>
  </si>
  <si>
    <t>დილთიაზემი</t>
  </si>
  <si>
    <t>დრონედარონი</t>
  </si>
  <si>
    <t>ქინიდინი</t>
  </si>
  <si>
    <t>ვერაპამილი</t>
  </si>
  <si>
    <t>მედიკამენტი</t>
  </si>
  <si>
    <t>კარდიოლოგიური მედიკამენტები</t>
  </si>
  <si>
    <t>ანტიბიოტიკები</t>
  </si>
  <si>
    <t>ანტივირუსული მედიკამენტები</t>
  </si>
  <si>
    <t>ფუნგოსტატიკები</t>
  </si>
  <si>
    <t>სხვა მედიკამენტები</t>
  </si>
  <si>
    <t>სხვა ფაქტორები</t>
  </si>
  <si>
    <t>ანტიმიტოზური ონკოთერაპიული  აგენტები</t>
  </si>
  <si>
    <t>ანტიმეტაბოლური ონკოთერაპიული  აგენტები</t>
  </si>
  <si>
    <t>პლატინაზე დაფუძნებული ონკოთერაპიული აგენტები</t>
  </si>
  <si>
    <t>მაალკილიზებელი ონკოთერაპიული აგენტები</t>
  </si>
  <si>
    <t>ანთრაციკლინური/ანთრაცენედიონური ონკოთერაპიული აგენტები</t>
  </si>
  <si>
    <t>ინეტრკალაციური ონკოთერაპიული აგენტები</t>
  </si>
  <si>
    <t>თიროზინკინაზას მაინჰიბირებელი ონკოთერაპიული აგენტები</t>
  </si>
  <si>
    <t>მონოკლონური ანტისხეულების შემცველი ონკოთერაპიული აგენტები</t>
  </si>
  <si>
    <t>ჰორმონული ონკოთერაპიული აგენტები</t>
  </si>
  <si>
    <t>იმუნიტეტის მოდულაციური ონკოთერაპიული აგენტები</t>
  </si>
  <si>
    <t>ანტიეპილეფსიური აგენტები</t>
  </si>
  <si>
    <t>მცენარეული საშუალებები</t>
  </si>
  <si>
    <t>COVID-19-ის სამკურნალო საშუალებები</t>
  </si>
  <si>
    <t>ატორვასტატინი</t>
  </si>
  <si>
    <t>ტიკაგრელორი</t>
  </si>
  <si>
    <t>კლარითრომიცინი</t>
  </si>
  <si>
    <t>ერითრომიცინი</t>
  </si>
  <si>
    <t>რიფამპიცინი</t>
  </si>
  <si>
    <t>აივ პროტეინაზას ინჰიბიტორი (მაგ., რიტონავირი)</t>
  </si>
  <si>
    <t>ფლუკონაზოლი</t>
  </si>
  <si>
    <t>იტრაკონაზოლი</t>
  </si>
  <si>
    <t>კეტოკონაზოლი</t>
  </si>
  <si>
    <t>ვორიკონაზოლი</t>
  </si>
  <si>
    <t>პოსაკონაზოლი</t>
  </si>
  <si>
    <t>H2 ბლოკერი</t>
  </si>
  <si>
    <t>Al-Mg-ჰიდროქსიდი</t>
  </si>
  <si>
    <t>SSRIs</t>
  </si>
  <si>
    <t>SNRIs</t>
  </si>
  <si>
    <r>
      <t xml:space="preserve">ასაკი </t>
    </r>
    <r>
      <rPr>
        <sz val="11"/>
        <rFont val="Calibri"/>
        <family val="2"/>
      </rPr>
      <t>≥80 წელი</t>
    </r>
  </si>
  <si>
    <t>ასაკი ≥75 წელი</t>
  </si>
  <si>
    <r>
      <t xml:space="preserve">წონა </t>
    </r>
    <r>
      <rPr>
        <sz val="11"/>
        <rFont val="Calibri"/>
        <family val="2"/>
      </rPr>
      <t>≤60 კგ</t>
    </r>
  </si>
  <si>
    <t>წონა ≥120 კგ</t>
  </si>
  <si>
    <t>ნაპროქსენი</t>
  </si>
  <si>
    <t>PP ინჰბიტორი</t>
  </si>
  <si>
    <t>კრაზანა</t>
  </si>
  <si>
    <t>სისხლდენის რისკები</t>
  </si>
  <si>
    <t>თირკმლების უკმარ.</t>
  </si>
  <si>
    <t>პაკლიტაქსელი</t>
  </si>
  <si>
    <t>ვინბლასტინი</t>
  </si>
  <si>
    <t>დოცეტაქსელი</t>
  </si>
  <si>
    <t>ვინკრისტინი</t>
  </si>
  <si>
    <t>ვინორელბინი</t>
  </si>
  <si>
    <t>სიფრთხილე!</t>
  </si>
  <si>
    <t>არ არის მონაცემები</t>
  </si>
  <si>
    <t>უკუჩვენება!</t>
  </si>
  <si>
    <t>სიფრთხილით!</t>
  </si>
  <si>
    <t>მეთოტრექსატი</t>
  </si>
  <si>
    <t>პემეტრექსედი</t>
  </si>
  <si>
    <t>პურინის ანალოგი</t>
  </si>
  <si>
    <t>პირამიდინის ანალოგი</t>
  </si>
  <si>
    <t>ტოპოიზომერაზას ინჰიბიტორული ონკოთერაპიული აგენტები</t>
  </si>
  <si>
    <t>ტოპოტეკანი</t>
  </si>
  <si>
    <t>ირინოტეკანი</t>
  </si>
  <si>
    <t>ეტოპოზიდი</t>
  </si>
  <si>
    <t>დოქსორუბიცინი</t>
  </si>
  <si>
    <t>იდარუბიცინი</t>
  </si>
  <si>
    <t>დაუნორუბიცინი</t>
  </si>
  <si>
    <t>მიტოქსანტრონი</t>
  </si>
  <si>
    <t>იფოსფამიდი</t>
  </si>
  <si>
    <t>ციკლოფოსფამიდი</t>
  </si>
  <si>
    <t>ლომუსტინი</t>
  </si>
  <si>
    <t>ბუსულფანი</t>
  </si>
  <si>
    <t>ბენდამუსტინი</t>
  </si>
  <si>
    <t>ქლორამბუცილი</t>
  </si>
  <si>
    <t>მელფალანი</t>
  </si>
  <si>
    <t>კარმუსტინი</t>
  </si>
  <si>
    <t>პროკარბაზინი</t>
  </si>
  <si>
    <t>დაკარბაზინი</t>
  </si>
  <si>
    <t>ტემოზოლომიდი</t>
  </si>
  <si>
    <t>ცისპლატინი</t>
  </si>
  <si>
    <t>კარბოპლატინი</t>
  </si>
  <si>
    <t>ოქსალიპლატინი</t>
  </si>
  <si>
    <t>ბლეომიცინი</t>
  </si>
  <si>
    <t>დაქტინომიცინი</t>
  </si>
  <si>
    <t>მიტომიცინი C</t>
  </si>
  <si>
    <t>კრიზოტინიბი</t>
  </si>
  <si>
    <t>ნილოტინიბი</t>
  </si>
  <si>
    <t>ლაპატინიბი</t>
  </si>
  <si>
    <t>ვემურაფენიბი</t>
  </si>
  <si>
    <t>დასატინიბი</t>
  </si>
  <si>
    <t>ვანდეტანიბი</t>
  </si>
  <si>
    <t>სუნიტინიბი</t>
  </si>
  <si>
    <t>ერლოტინიბი</t>
  </si>
  <si>
    <t>გეფიტინიბი</t>
  </si>
  <si>
    <t>უკუნაჩვენებია!</t>
  </si>
  <si>
    <t>იმატინიბი</t>
  </si>
  <si>
    <t>ბენტუქსიმაბი</t>
  </si>
  <si>
    <t>რიტუქსიმაბი</t>
  </si>
  <si>
    <t>ალემტუზუმაბი</t>
  </si>
  <si>
    <t>ცეტუქსიმაბი</t>
  </si>
  <si>
    <t>ტრასტუზუმაბი</t>
  </si>
  <si>
    <t>ბევაციზუმაბი</t>
  </si>
  <si>
    <t>აბირატერონი</t>
  </si>
  <si>
    <t>ენზალუტამიდი</t>
  </si>
  <si>
    <t>ბიკალუტამიდი</t>
  </si>
  <si>
    <t>ტამოქსიფენი</t>
  </si>
  <si>
    <t>ანასტროზოლი</t>
  </si>
  <si>
    <t>ფლუტამიდი</t>
  </si>
  <si>
    <t>ლეტროზოლი</t>
  </si>
  <si>
    <t>ფულვესტრანტი</t>
  </si>
  <si>
    <t>რალოქსიფენი</t>
  </si>
  <si>
    <t>ლეუპროლიდი</t>
  </si>
  <si>
    <t>მიტოტანი</t>
  </si>
  <si>
    <t>ციკლოსპორინი</t>
  </si>
  <si>
    <t>დექსამეტაზონი</t>
  </si>
  <si>
    <t>ტაკროლიმუსი</t>
  </si>
  <si>
    <t>პრედნიზონი</t>
  </si>
  <si>
    <t>ტემსიროლიმუსი</t>
  </si>
  <si>
    <t>სიროლიმუსი</t>
  </si>
  <si>
    <t>ევეროლიმუსი</t>
  </si>
  <si>
    <t>დოზის შემცირება 30 მგ დღეში ერთჯერ</t>
  </si>
  <si>
    <t>ერიდეთ კომბინაციას!</t>
  </si>
  <si>
    <t>ბრივარაცეტამი</t>
  </si>
  <si>
    <t>კარბამაზეპინი</t>
  </si>
  <si>
    <t>ეტოსუქსიმიდი</t>
  </si>
  <si>
    <t>გაბაპენტინი</t>
  </si>
  <si>
    <t>ლაკოსამიდი</t>
  </si>
  <si>
    <t>ლამოტრიჯინი</t>
  </si>
  <si>
    <t>ლევეტირაცეტამი</t>
  </si>
  <si>
    <t>ოქსკარბაზეპინი</t>
  </si>
  <si>
    <t>ფენობარბიტალი</t>
  </si>
  <si>
    <t>ფენიტოინი</t>
  </si>
  <si>
    <t>პრეგაბალინი</t>
  </si>
  <si>
    <t>ტოპირამატი</t>
  </si>
  <si>
    <t>ვალპროს მჟავა</t>
  </si>
  <si>
    <t>ზონისამიდი</t>
  </si>
  <si>
    <t>კურკუმინი</t>
  </si>
  <si>
    <t>ექინაცეა პურპურეა</t>
  </si>
  <si>
    <t>ნიორი</t>
  </si>
  <si>
    <t>ჯინჯერი</t>
  </si>
  <si>
    <t>გინკო ბილობა</t>
  </si>
  <si>
    <t>ჯენშენი</t>
  </si>
  <si>
    <t>მწვანე ჩაი</t>
  </si>
  <si>
    <t>ცხენისწაბლა</t>
  </si>
  <si>
    <t>ვალერიანი</t>
  </si>
  <si>
    <t>აზიტრომიცინი</t>
  </si>
  <si>
    <t>ატაზანავირი</t>
  </si>
  <si>
    <t>ლოპინავირი/რიტონავირი</t>
  </si>
  <si>
    <t>დარუნავირი/კობიცისტატი</t>
  </si>
  <si>
    <t>რიბავირინი</t>
  </si>
  <si>
    <t>რემდესივირი</t>
  </si>
  <si>
    <t>ფავიპირავირი</t>
  </si>
  <si>
    <t>ეკულიზუმაბი</t>
  </si>
  <si>
    <t>ტოცილიზუმაბი</t>
  </si>
  <si>
    <t>ფინგოლიმოდი</t>
  </si>
  <si>
    <t>ინტერფერონი</t>
  </si>
  <si>
    <t>პირფენიდონი</t>
  </si>
  <si>
    <t>მეთილპრედნიზოლონი</t>
  </si>
  <si>
    <t>ნიტაზოქსანიდი</t>
  </si>
  <si>
    <t>ერიდეთ კოკმბინაციას!</t>
  </si>
  <si>
    <t>ასაკი</t>
  </si>
  <si>
    <t>სქესი</t>
  </si>
  <si>
    <t>კგ</t>
  </si>
  <si>
    <t>კაცი</t>
  </si>
  <si>
    <t>ქალი</t>
  </si>
  <si>
    <t>კრეატინინი</t>
  </si>
  <si>
    <t>მგ/დლ</t>
  </si>
  <si>
    <t>კონვერტაცია:</t>
  </si>
  <si>
    <t>მკმოლ/ლ</t>
  </si>
  <si>
    <t>კრეატინინის კლირენსი (Cockcroft–Gault)</t>
  </si>
  <si>
    <r>
      <t>მლ/წთ/1.73 მ</t>
    </r>
    <r>
      <rPr>
        <vertAlign val="superscript"/>
        <sz val="11"/>
        <color theme="1"/>
        <rFont val="Calibri"/>
        <family val="2"/>
        <charset val="204"/>
        <scheme val="minor"/>
      </rPr>
      <t>2</t>
    </r>
  </si>
  <si>
    <t>წონა</t>
  </si>
  <si>
    <t>GFR კატეგორია:</t>
  </si>
  <si>
    <t>CKD სტადია:</t>
  </si>
  <si>
    <t>ინტერპრეტაცია:</t>
  </si>
  <si>
    <t xml:space="preserve">            NOAC -ების ჩვენებები გლომერულოფილტრაციის სიჩქარის მიხედვით</t>
  </si>
  <si>
    <t>NOAC-ების ჩვენებები GFR-ის მიხედვით</t>
  </si>
  <si>
    <t xml:space="preserve">            NOAC -ები ღვიძლის დაავადების მქონე პაციენტებში</t>
  </si>
  <si>
    <t>NOAC-ები ღვიძლის დაავადებების მქონე პაციენტებში</t>
  </si>
  <si>
    <t>თრომბოემბოლიზმის ან სისხლდენის ანამნეზი?</t>
  </si>
  <si>
    <t>რისკის შემცველი მიმდინარე მედიკამენტები?</t>
  </si>
  <si>
    <t>სისხლდენის მაღალი რისკი (მაგ., დიდი სისხლდენის ანამნეზი, ალკოჰოლის ჭარბად მიღება, ა.შ.)</t>
  </si>
  <si>
    <t>ბაზისური შეფასება (ჰემოგრამა, ღვიძლის პანელი, კოაგულოგრამა, თირკმლის ფუნქცია)</t>
  </si>
  <si>
    <t xml:space="preserve">            სისხლდენის მართვა NOAC თერაპიაზე მყოფ პაციენტებში</t>
  </si>
  <si>
    <t>სისხლდენის მართვა NOAC თერაპიაზე მყოფ პაციენტებში</t>
  </si>
  <si>
    <t>სისხლდენის ინტენსივობა</t>
  </si>
  <si>
    <t>მცირე სისხლდენა</t>
  </si>
  <si>
    <t>დიდი სისხლდენა სისცოცხლის რისკის გარეშე</t>
  </si>
  <si>
    <t xml:space="preserve">სიცოცხლისთვის საშიში სისხლდენა ან სისხლდენა კრიტიკულ ლოკუსში </t>
  </si>
  <si>
    <t xml:space="preserve">            NOAC და ქირურგიული ჩარვები</t>
  </si>
  <si>
    <t>NOAC-ები და ქირურგიული ჩარევები</t>
  </si>
  <si>
    <t>* კბილის ექსტრაქცია (1-3 კბილი), პარადონტული ქირურგია, იმპლანტის პოზიციონირება, სუბგინგივალური ქვების მოცილება/გაწმენდა</t>
  </si>
  <si>
    <t>* კატარაქტის ან გლაუკომის ოპერაცია</t>
  </si>
  <si>
    <t>* ენდოსკოპია ბიოფსიის ან რეზექციის გარეშე</t>
  </si>
  <si>
    <t>* ზედაპირული ქირურგია (მაგ., აბსცესის გაკვეთა, მცირე დერმატოლოგიური ექსციზია, კანის ბიოფსია)</t>
  </si>
  <si>
    <t>* პეისმეიკერის ან ICD იმპლანტაცია (გარდა კომპლექსური პროცედურებისა)</t>
  </si>
  <si>
    <t>* ელექტროფიზიოლოგიური კვლევა ან აბლაცია (გარდა კომპლექსური პროცედურებისა)</t>
  </si>
  <si>
    <t xml:space="preserve">* რუტინული ელექტიური ჩარევა კორონარულ ან პერიფერიულ არტერიაზე (გარდა კომპლექსური პროცედურებისა) </t>
  </si>
  <si>
    <t>* ინტრამუსკულური ინიექცია (მაგ., ვაქცინაცია)</t>
  </si>
  <si>
    <t>* კომპლექსური სტომატოლოგიური პროცედურები</t>
  </si>
  <si>
    <t>* ენდოსკოპია მარტივი ბიოფსიით</t>
  </si>
  <si>
    <t>* მცირე ორთოპედიული ქირურგია (ტერფი, მტევანი, ართროსკოპია, ა.შ.)</t>
  </si>
  <si>
    <t>მცირე რისკის ჩარევები (იშვიათი სისხლდენა დაბალი კლინიკური ეფექტით)</t>
  </si>
  <si>
    <t>დაბალი რისკის ჩარევები (იშვიათი სისხლდენა დაბალი კლინიკური ეფექტით)</t>
  </si>
  <si>
    <t>მაღალი რისკის ჩარევები (ხშირი სისხლდენა სერიოზული კლინიკური ეფექტით ან მის გარეშე)</t>
  </si>
  <si>
    <t>* კარდიოქირურგიული ჩარევა</t>
  </si>
  <si>
    <t>* პერიფერიული არტერიების რევასკულარიზაცია (მაგ., აორტის ანევრიზმის ოპერაცია, სისხლძარღვოვანი შუნტი)</t>
  </si>
  <si>
    <t>* კომპლექსური ინვაზიური კარდიოინტერვენცია, ელექტროდის ექსტრაქციის, ეპიკარდიული VT აბლაციის, ქრონიკული ტოტალური ოკლუზიური PCI-ის ჩათვლით</t>
  </si>
  <si>
    <t>* ნეიროქირურგიული ოპერაცია</t>
  </si>
  <si>
    <t>* სპინალური ან ეპიდურული ანესთეზია. დიაგნოსტიკური ლუმბალური პუნქცია</t>
  </si>
  <si>
    <t>* კომპლექსური ენდოსკოპია (მაგ., დიდი/მრავალი პოლიპ(ებ)ის მოკვეთა, ენდოსკოპიური რეტროგრადული ქოლეცისტოპანკრეატული სფინქტეროტომია და ა.შ.)</t>
  </si>
  <si>
    <t>* აბდომინური ქირურგია (მაგ., ღვიძლის ბიოფსია)</t>
  </si>
  <si>
    <t>* თორაკოქირურგიული ჩარევა</t>
  </si>
  <si>
    <t>* დიდი უროლოგიური ქირურგია/ბიოფსია</t>
  </si>
  <si>
    <t>* ექსტრაკორპორალური შოკური ლითოტრიფსია</t>
  </si>
  <si>
    <t>* დიდი ორთოპედიული ქირურგიული ჩარევა</t>
  </si>
  <si>
    <t>CrCl</t>
  </si>
  <si>
    <t>ჩარევის რისკი</t>
  </si>
  <si>
    <t>მცირე რისკის ჩარევა</t>
  </si>
  <si>
    <t>მაღალი რისკის ჩარევა</t>
  </si>
  <si>
    <t>დაბალი რისკის ჩარევა</t>
  </si>
  <si>
    <t>≥80 მლ/წთ</t>
  </si>
  <si>
    <t>50-79 მლ/წთ</t>
  </si>
  <si>
    <t>30-49 მლ/წთ</t>
  </si>
  <si>
    <t>15-29 მლ/წთ</t>
  </si>
  <si>
    <t>&lt;15 მლ/წთ</t>
  </si>
  <si>
    <t>≥24 სთ</t>
  </si>
  <si>
    <t>≥36 სთ</t>
  </si>
  <si>
    <t>≥48 სთ</t>
  </si>
  <si>
    <t>≥72 სთ</t>
  </si>
  <si>
    <t>≥96 სთ</t>
  </si>
  <si>
    <t>აპიქს/ედოქს/რივაროქს</t>
  </si>
  <si>
    <t>მწვავე კორონარული სინდრომი</t>
  </si>
  <si>
    <t>კანგავლითი კორონარული ინტერვენცია</t>
  </si>
  <si>
    <t>* მაღალი ათეროთრომბოზული რისკი (მაღალი REACH ან SYNTAX ქულა, მარცხენა მთავარი კორონარული არტერიის სტენტირება, მარცხენა წინა დასწვრივი ტოტის პროქსიმალური სტენტირება, ბიფურკაციის პროქსიმალური სტენტირება, მიოკარდიუმის რეკურენტული ინფარქტი, სტენტთრომბოზი და ა.შ.) და სისხლდენის დაბალი რისკი</t>
  </si>
  <si>
    <t>* მაღალი ათეროთრომბოზული რისკი (მაღალი GRACE ქულა, მარცხენა მთავარი კორონარული არტერიის სტენტირება, მარცხენა წინა დასწვრივი ტოტის პროქსიმალური სტენტირება, ბიფურკაციის პროქსიმალური სტენტირება, მიოკარდიუმის რეკურენტული ინფარქტი, სტენტთრომბოზი და ა.შ.) და სისხლდენის დაბალი რისკი</t>
  </si>
  <si>
    <t>GRACE კალკულატორი</t>
  </si>
  <si>
    <t>&lt;35</t>
  </si>
  <si>
    <t>35-45</t>
  </si>
  <si>
    <t>45-55</t>
  </si>
  <si>
    <t>55-65</t>
  </si>
  <si>
    <t>65-75</t>
  </si>
  <si>
    <t>75-85</t>
  </si>
  <si>
    <t>85-90</t>
  </si>
  <si>
    <t>≥90</t>
  </si>
  <si>
    <t>გულისცემის სიხშირე</t>
  </si>
  <si>
    <t>წელი</t>
  </si>
  <si>
    <t>/წუთში</t>
  </si>
  <si>
    <t>სისტოლური წნევა</t>
  </si>
  <si>
    <t>mmHg</t>
  </si>
  <si>
    <t>კილიპის კლასი</t>
  </si>
  <si>
    <t>I - არა</t>
  </si>
  <si>
    <t>II - ბაზალური კრეპიტაცია, მომატებული JVP</t>
  </si>
  <si>
    <t>III - ფილტვების შეშუპება</t>
  </si>
  <si>
    <t>IV - კარდიოგენული შოკი</t>
  </si>
  <si>
    <t>გულის გაჩერება</t>
  </si>
  <si>
    <t>ST სეგმენტის დევიაცია</t>
  </si>
  <si>
    <t>კი</t>
  </si>
  <si>
    <t>არა</t>
  </si>
  <si>
    <t>მომატებული ტროპონინი</t>
  </si>
  <si>
    <t>შიდაჰოსპიტალური სიკვდილობის ქულა</t>
  </si>
  <si>
    <t>პულსი</t>
  </si>
  <si>
    <t>სისტოლა</t>
  </si>
  <si>
    <t>კილიპი</t>
  </si>
  <si>
    <t>არესტი</t>
  </si>
  <si>
    <t>ST</t>
  </si>
  <si>
    <t>ტროპი</t>
  </si>
  <si>
    <t>შიდაჰოსპიტალური სიკვდილობის ალბათობა</t>
  </si>
  <si>
    <t>კარდიოვერსია და NOAC თერაპია</t>
  </si>
  <si>
    <t>&gt;48 საათი ან დაუდგენელი ხანგრძლივობის</t>
  </si>
  <si>
    <t>≤48 საათი</t>
  </si>
  <si>
    <t>პაციენტი არ იღებს ანტიკოაგულანტებს</t>
  </si>
  <si>
    <t xml:space="preserve">ორალური ანტიკოაგულანტები ≥3 კვირის განმავლობაში </t>
  </si>
  <si>
    <t>ანტიკოაგულაციის სტატუსი</t>
  </si>
  <si>
    <t>CHA₂DS₂-VASc ქულა - ინსულტის რისკის შეფასება წინაგულების ფიბრილაციის დროს</t>
  </si>
  <si>
    <t>პაციენტი</t>
  </si>
  <si>
    <t>თარიღი</t>
  </si>
  <si>
    <t>გულის უკმარისობის ანამნეზი..............................................................................</t>
  </si>
  <si>
    <t>ჰიპერტენზიის ანამნეზი........................................................................................</t>
  </si>
  <si>
    <t>ინსულტის/ტრანზიტული იშემიის/თრომბოემბოლიზმის ანამნეზი...................</t>
  </si>
  <si>
    <t>ვასკულური დაავადების (ინფარქტი, პერიფერიული არტერიების დაავადება</t>
  </si>
  <si>
    <t>ან აორტის ათეროსკლეროზული დაზიანება) ანამნეზი ......................................</t>
  </si>
  <si>
    <t>შაქრიანი დიაბეტის ანამნეზი................................................................................</t>
  </si>
  <si>
    <t>CHA₂DS₂-VASc ქულა</t>
  </si>
  <si>
    <t>იშემიური ინსულტის რისკი</t>
  </si>
  <si>
    <t>ინსულტის/ტრანზიტული იშემიის/სისტემური ემბოლიზმის რისკი</t>
  </si>
  <si>
    <t xml:space="preserve">0 ქულა მიუთითებს "დაბალ" რისკზე და არ მოითხოვს ანტიკოაგულაციას; 1 ქულა მიუთითებს "დაბალ-საშუალო" რისკზე და საჭიროებს ანტიაგრეგაციულ ან ანტიკოაგულაციურ თერაპიას; 2 ან მეტი ქულა მიუთითებს "საშუალო-მაღალ" რისკზე და საჭიროებს ანტიკოაგულაციურ თერაპიას. </t>
  </si>
  <si>
    <t xml:space="preserve">            NOAC და კარდიოვერსია, CHA2DS2-VASc ქულით</t>
  </si>
  <si>
    <t>ნევროლოგიური დეფიციტით მიმდინარე მწვავე იშემიური ინსულტის მწვავე მართვა</t>
  </si>
  <si>
    <t xml:space="preserve">            NOAC-ზე მყოფ პაციენტებში ნევროლოგიური დეფიციტით მიმდინარე მწვავე იშემიური ინსულტი</t>
  </si>
  <si>
    <t>პლაზმაში NOAC-ის დონე დეტექციის ქვედა ზღვრის ქვემოთ</t>
  </si>
  <si>
    <t>NOAC-ის აღდგენა ტრანზიტული იშემიის/ინსულტის შემდგომ</t>
  </si>
  <si>
    <t>ჰოსპიტალიზაციისას ტვინის იმიჯინგით</t>
  </si>
  <si>
    <t>ჰემორაგიული ტრანსფორმაცია</t>
  </si>
  <si>
    <t>არ არის ჰემორაგიული ტრანსფორმაცია</t>
  </si>
  <si>
    <t>ტრანზიტული იშემია თავის ტვინის მწვავე დაზიანების გარეშე</t>
  </si>
  <si>
    <t>ტრანზიტული იშემია თავის ტვინის მწვავე დაზიანებით</t>
  </si>
  <si>
    <t>პერსისტიული ზომიერი ნევროლოგიური დეფიციტი</t>
  </si>
  <si>
    <t>პერსისტიული მსუბუქი ნევროლოგიური დეფიციტი</t>
  </si>
  <si>
    <t>პერსისტიული მძიმე ნევროლოგიური დეფიციტი</t>
  </si>
  <si>
    <t xml:space="preserve">            NOAC თერაპია წონის დეფიციტის ან ჭარბწონიანობის შემთხვევაში</t>
  </si>
  <si>
    <t>სხეულის წონა</t>
  </si>
  <si>
    <t>სიმაღლე</t>
  </si>
  <si>
    <t>მ</t>
  </si>
  <si>
    <t xml:space="preserve">სხეულის მასისი ინდექსი </t>
  </si>
  <si>
    <t>კგ/მ2</t>
  </si>
  <si>
    <t xml:space="preserve">ინტერპრეტაცია: </t>
  </si>
  <si>
    <t>რეკომენდაცია:</t>
  </si>
  <si>
    <t>NOAC თერაპიის თავისებურებები წონის და სხეულის მასის ინდექსის მიხედვით</t>
  </si>
  <si>
    <t>NOAC თერაპიის თავისებურებები თრომბოციტოპენიურ პაციენტებში</t>
  </si>
  <si>
    <t>თრომბოციტების რაოდენობა</t>
  </si>
  <si>
    <t>&lt;20 000/µl</t>
  </si>
  <si>
    <t>20 000/µl - 50 000/µl</t>
  </si>
  <si>
    <t>&gt;50 000/µl</t>
  </si>
  <si>
    <t>ჰიპერტენზია (უკონტროლო, სისტოლური &gt;160 mmHg)…...................................................</t>
  </si>
  <si>
    <t xml:space="preserve">თირკმლის დაავადება (დიალიზი, ტრანსპლანტანტი, კრეატინინი &gt;2.26 მგ/დლ  </t>
  </si>
  <si>
    <t>ან &gt;200 მკმოლ/ლ.................................................................................................................</t>
  </si>
  <si>
    <t>ღვიძლის დაავადება (ციროზი, ბილირუბინი ნორმაზე &gt;2ჯერ მეტი ან AST/ALT/AP</t>
  </si>
  <si>
    <t>ნორმაზე &gt;3ჯერ მეტი...........................................................................................................</t>
  </si>
  <si>
    <t>ინსულტის ანამნეზი.............................................................................................................</t>
  </si>
  <si>
    <t>წინმსწრები დიდი სისხლდენა ან სისხლდენებისადმი მიდრეკილება................................</t>
  </si>
  <si>
    <t>ალკოჰოლის ხშირი მოხმარება.............................................................................................</t>
  </si>
  <si>
    <t>HAS-BLED ქულა</t>
  </si>
  <si>
    <t>რისკის ჯგუფი</t>
  </si>
  <si>
    <t>დიდი სისხლდენის რისკი</t>
  </si>
  <si>
    <t>სისხლდენა 100 პაციენტ-წელზე</t>
  </si>
  <si>
    <t>რეკომენდაცია</t>
  </si>
  <si>
    <t>დიაპაზონში</t>
  </si>
  <si>
    <t>ლაბილური INR (არასტაბილური/მაღალი INR, &lt;60% თერაპიულ.....................</t>
  </si>
  <si>
    <t>არასტეროიდები)</t>
  </si>
  <si>
    <t>სისხლდენის რისკის მედიკამენტები (ასპირინი, კლოპიდოგრელი, ...............</t>
  </si>
  <si>
    <t>HAS-BLED ქულა - დიდი სისხლდენის რისკი</t>
  </si>
  <si>
    <t xml:space="preserve">            NOAC და თრომბოციტოპენია</t>
  </si>
  <si>
    <t>ვარფარინის დოზის კორექცია</t>
  </si>
  <si>
    <t>INR</t>
  </si>
  <si>
    <t xml:space="preserve"> ≤1.5</t>
  </si>
  <si>
    <t>1.6-1.9</t>
  </si>
  <si>
    <t>2-2.9</t>
  </si>
  <si>
    <t>3-3.9</t>
  </si>
  <si>
    <t>4-4.9</t>
  </si>
  <si>
    <t>≥5</t>
  </si>
  <si>
    <t>დოზის ყოველკვირეული კორექცია:</t>
  </si>
  <si>
    <t xml:space="preserve">            ვარფარინის დოზის კორექცია</t>
  </si>
  <si>
    <t>წინაგულების ფიბრილაციის მქონე პაციენტებში არა ვიტამინ K ანტაგონისტი ორალური ანტიკოაგულანტების გამოყენების პრაქტიკული სახელმძღვანელო (ევროპის გულის რითმის ასოციაცია - EHRA)</t>
  </si>
  <si>
    <t xml:space="preserve">            NOAC და პერკუტანეული კორონარული ინტერვენცია</t>
  </si>
  <si>
    <t>NOAC და პერკუტანეული კორონარული ინტერვენცია</t>
  </si>
  <si>
    <r>
      <t xml:space="preserve">          მითითებების დაცვა (ამყოლობა, მიმდევრობა) - </t>
    </r>
    <r>
      <rPr>
        <sz val="11"/>
        <color theme="1"/>
        <rFont val="Calibri"/>
        <family val="2"/>
        <scheme val="minor"/>
      </rPr>
      <t>ყოველ ვიზიტზე</t>
    </r>
  </si>
  <si>
    <r>
      <t xml:space="preserve">          სისხლდენის განმაპრობებელი ფაქტორების შეფასება და მინიმიზაცია</t>
    </r>
    <r>
      <rPr>
        <sz val="11"/>
        <color theme="1"/>
        <rFont val="Calibri"/>
        <family val="2"/>
        <scheme val="minor"/>
      </rPr>
      <t xml:space="preserve">  - ყოველ ვიზიტზე</t>
    </r>
  </si>
  <si>
    <t>გეგმიური</t>
  </si>
  <si>
    <t>გეგმიური PCI-ის ან მწვავე კორონარული სინდრომის მწვავე მართვა</t>
  </si>
  <si>
    <t>გეგმიური ქირურგიული ჩარევების კლასიფიკაცია სისხლდენის რისკის მიხედვით</t>
  </si>
  <si>
    <t>NOAC-ის შეწყვეტის დრო გეგმიური ქირურგიული ჩარევის წინ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</si>
</sst>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theme="1"/>
      <name val="Calibri"/>
      <family val="2"/>
      <charset val="204"/>
      <scheme val="minor"/>
    </font>
    <font>
      <b/>
      <sz val="11"/>
      <color theme="1"/>
      <name val="Calibri"/>
      <family val="2"/>
      <scheme val="minor"/>
    </font>
    <font>
      <b/>
      <sz val="18"/>
      <color theme="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
      <u/>
      <sz val="11"/>
      <color theme="1"/>
      <name val="Calibri"/>
      <family val="2"/>
      <scheme val="minor"/>
    </font>
    <font>
      <sz val="11"/>
      <color theme="1"/>
      <name val="Calibri"/>
      <family val="2"/>
    </font>
    <font>
      <u/>
      <sz val="11"/>
      <color theme="10"/>
      <name val="Calibri"/>
      <family val="2"/>
      <scheme val="minor"/>
    </font>
    <font>
      <u/>
      <sz val="9"/>
      <color theme="10"/>
      <name val="Calibri"/>
      <family val="2"/>
      <scheme val="minor"/>
    </font>
    <font>
      <b/>
      <sz val="18"/>
      <name val="Calibri"/>
      <family val="2"/>
      <scheme val="minor"/>
    </font>
    <font>
      <b/>
      <sz val="9"/>
      <name val="Calibri"/>
      <family val="2"/>
      <scheme val="minor"/>
    </font>
    <font>
      <vertAlign val="subscript"/>
      <sz val="11"/>
      <color theme="1"/>
      <name val="Calibri"/>
      <family val="2"/>
      <scheme val="minor"/>
    </font>
    <font>
      <b/>
      <sz val="11"/>
      <color rgb="FFFF0000"/>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name val="Calibri"/>
      <family val="2"/>
    </font>
    <font>
      <sz val="11"/>
      <color theme="0"/>
      <name val="Calibri"/>
      <family val="2"/>
    </font>
    <font>
      <b/>
      <sz val="11"/>
      <name val="Calibri"/>
      <family val="2"/>
      <scheme val="minor"/>
    </font>
    <font>
      <sz val="10"/>
      <name val="Calibri"/>
      <family val="2"/>
      <scheme val="minor"/>
    </font>
    <font>
      <b/>
      <sz val="11"/>
      <color theme="1"/>
      <name val="Calibri"/>
      <family val="2"/>
      <charset val="204"/>
      <scheme val="minor"/>
    </font>
    <font>
      <vertAlign val="superscript"/>
      <sz val="11"/>
      <color theme="1"/>
      <name val="Calibri"/>
      <family val="2"/>
      <charset val="204"/>
      <scheme val="minor"/>
    </font>
    <font>
      <b/>
      <sz val="9"/>
      <name val="Calibri"/>
      <family val="2"/>
      <charset val="204"/>
      <scheme val="minor"/>
    </font>
    <font>
      <b/>
      <sz val="18"/>
      <name val="Calibri"/>
      <family val="2"/>
      <charset val="204"/>
      <scheme val="minor"/>
    </font>
    <font>
      <sz val="10"/>
      <color theme="1"/>
      <name val="Calibri"/>
      <family val="2"/>
      <scheme val="minor"/>
    </font>
    <font>
      <b/>
      <u/>
      <sz val="11"/>
      <color theme="1"/>
      <name val="Calibri"/>
      <family val="2"/>
      <charset val="204"/>
      <scheme val="minor"/>
    </font>
    <font>
      <b/>
      <sz val="11"/>
      <color theme="9" tint="-0.249977111117893"/>
      <name val="Calibri"/>
      <family val="2"/>
      <scheme val="minor"/>
    </font>
    <font>
      <b/>
      <u/>
      <sz val="11"/>
      <name val="Calibri"/>
      <family val="2"/>
      <scheme val="minor"/>
    </font>
    <font>
      <sz val="12"/>
      <color theme="0"/>
      <name val="Calibri"/>
      <family val="2"/>
      <scheme val="minor"/>
    </font>
    <font>
      <b/>
      <u/>
      <sz val="11"/>
      <color theme="1"/>
      <name val="Calibri"/>
      <family val="2"/>
      <scheme val="minor"/>
    </font>
    <font>
      <i/>
      <sz val="11"/>
      <color theme="1"/>
      <name val="Calibri"/>
      <family val="2"/>
      <charset val="204"/>
      <scheme val="minor"/>
    </font>
    <font>
      <b/>
      <sz val="18"/>
      <color theme="0"/>
      <name val="Calibri"/>
      <family val="2"/>
      <charset val="204"/>
      <scheme val="minor"/>
    </font>
    <font>
      <sz val="11"/>
      <color theme="0"/>
      <name val="Calibri"/>
      <family val="2"/>
      <charset val="204"/>
      <scheme val="minor"/>
    </font>
    <font>
      <i/>
      <sz val="11"/>
      <color theme="0"/>
      <name val="Calibri"/>
      <family val="2"/>
      <charset val="204"/>
      <scheme val="minor"/>
    </font>
    <font>
      <b/>
      <u/>
      <sz val="12"/>
      <color theme="1"/>
      <name val="Calibri"/>
      <family val="2"/>
      <scheme val="minor"/>
    </font>
    <font>
      <u/>
      <sz val="11"/>
      <color theme="8" tint="-0.249977111117893"/>
      <name val="Calibri"/>
      <family val="2"/>
      <scheme val="minor"/>
    </font>
    <font>
      <b/>
      <sz val="20"/>
      <color theme="1"/>
      <name val="Calibri"/>
      <family val="2"/>
      <charset val="204"/>
      <scheme val="minor"/>
    </font>
    <font>
      <b/>
      <sz val="20"/>
      <color theme="0"/>
      <name val="Calibri"/>
      <family val="2"/>
      <charset val="204"/>
      <scheme val="minor"/>
    </font>
    <font>
      <u/>
      <sz val="9"/>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ck">
        <color theme="0"/>
      </right>
      <top/>
      <bottom/>
      <diagonal/>
    </border>
    <border>
      <left/>
      <right/>
      <top/>
      <bottom style="thick">
        <color theme="0"/>
      </bottom>
      <diagonal/>
    </border>
    <border>
      <left style="thick">
        <color theme="0"/>
      </left>
      <right/>
      <top/>
      <bottom/>
      <diagonal/>
    </border>
  </borders>
  <cellStyleXfs count="2">
    <xf numFmtId="0" fontId="0" fillId="0" borderId="0"/>
    <xf numFmtId="0" fontId="9" fillId="0" borderId="0" applyNumberFormat="0" applyFill="0" applyBorder="0" applyAlignment="0" applyProtection="0"/>
  </cellStyleXfs>
  <cellXfs count="178">
    <xf numFmtId="0" fontId="0" fillId="0" borderId="0" xfId="0"/>
    <xf numFmtId="0" fontId="0" fillId="2" borderId="0" xfId="0" applyFill="1"/>
    <xf numFmtId="0" fontId="5" fillId="2" borderId="0" xfId="0" applyFont="1" applyFill="1"/>
    <xf numFmtId="0" fontId="2" fillId="2" borderId="0" xfId="0" applyFont="1" applyFill="1"/>
    <xf numFmtId="0" fontId="2" fillId="2" borderId="0" xfId="0" applyFont="1" applyFill="1" applyAlignment="1">
      <alignment vertical="center" wrapText="1"/>
    </xf>
    <xf numFmtId="0" fontId="0" fillId="2" borderId="0" xfId="0" applyFill="1" applyAlignment="1"/>
    <xf numFmtId="0" fontId="4" fillId="2" borderId="0" xfId="0" applyFont="1" applyFill="1" applyAlignment="1">
      <alignment vertical="center"/>
    </xf>
    <xf numFmtId="0" fontId="6" fillId="2" borderId="0" xfId="0" applyFont="1" applyFill="1" applyAlignment="1">
      <alignment vertical="center"/>
    </xf>
    <xf numFmtId="0" fontId="10" fillId="2" borderId="0" xfId="1" applyFont="1" applyFill="1" applyAlignment="1">
      <alignment vertical="center"/>
    </xf>
    <xf numFmtId="0" fontId="0" fillId="2" borderId="0" xfId="0" applyFill="1" applyAlignment="1">
      <alignment horizontal="left" vertical="center" wrapText="1"/>
    </xf>
    <xf numFmtId="0" fontId="0" fillId="2" borderId="0" xfId="0" applyFill="1" applyAlignment="1">
      <alignment vertical="center" wrapText="1"/>
    </xf>
    <xf numFmtId="0" fontId="0" fillId="2" borderId="0" xfId="0" applyFill="1" applyAlignment="1">
      <alignment vertical="center"/>
    </xf>
    <xf numFmtId="0" fontId="0" fillId="2" borderId="0" xfId="0" applyFont="1" applyFill="1"/>
    <xf numFmtId="0" fontId="0" fillId="2" borderId="0" xfId="0" applyFill="1" applyProtection="1">
      <protection locked="0"/>
    </xf>
    <xf numFmtId="0" fontId="0" fillId="2" borderId="0" xfId="0" applyFont="1" applyFill="1" applyAlignment="1" applyProtection="1">
      <alignment horizontal="left" vertical="center"/>
      <protection locked="0"/>
    </xf>
    <xf numFmtId="0" fontId="0" fillId="2" borderId="0" xfId="0" applyFill="1" applyAlignment="1">
      <alignment horizontal="left" vertical="top" wrapText="1"/>
    </xf>
    <xf numFmtId="0" fontId="17" fillId="2" borderId="0" xfId="0" applyFont="1" applyFill="1"/>
    <xf numFmtId="0" fontId="16" fillId="2" borderId="0" xfId="0" applyFont="1" applyFill="1"/>
    <xf numFmtId="0" fontId="19" fillId="2" borderId="0" xfId="0" applyFont="1" applyFill="1"/>
    <xf numFmtId="0" fontId="16" fillId="2" borderId="0" xfId="0" applyFont="1" applyFill="1" applyAlignment="1">
      <alignment vertical="center"/>
    </xf>
    <xf numFmtId="0" fontId="17" fillId="2" borderId="0" xfId="0" applyFont="1" applyFill="1" applyBorder="1" applyAlignment="1">
      <alignment horizontal="center" vertical="center"/>
    </xf>
    <xf numFmtId="0" fontId="17" fillId="2" borderId="0" xfId="0" applyFont="1" applyFill="1" applyProtection="1">
      <protection locked="0"/>
    </xf>
    <xf numFmtId="0" fontId="15" fillId="2" borderId="0" xfId="0" applyFont="1" applyFill="1"/>
    <xf numFmtId="0" fontId="14" fillId="2" borderId="0" xfId="0" applyFont="1" applyFill="1"/>
    <xf numFmtId="0" fontId="0" fillId="2" borderId="0" xfId="0" applyFill="1" applyAlignment="1">
      <alignment horizontal="left" vertical="center" wrapText="1"/>
    </xf>
    <xf numFmtId="164" fontId="0" fillId="2" borderId="1" xfId="0" applyNumberFormat="1" applyFill="1" applyBorder="1" applyAlignment="1">
      <alignment horizontal="center" vertical="center"/>
    </xf>
    <xf numFmtId="0" fontId="22" fillId="2" borderId="0" xfId="0" applyFont="1" applyFill="1" applyAlignment="1">
      <alignment horizontal="center" vertical="center"/>
    </xf>
    <xf numFmtId="0" fontId="22" fillId="2" borderId="0" xfId="0" applyFont="1" applyFill="1"/>
    <xf numFmtId="0" fontId="22" fillId="4" borderId="0" xfId="0" applyFont="1" applyFill="1"/>
    <xf numFmtId="0" fontId="0" fillId="4" borderId="0" xfId="0" applyFill="1"/>
    <xf numFmtId="0" fontId="0" fillId="2" borderId="1" xfId="0" applyFill="1" applyBorder="1" applyAlignment="1" applyProtection="1">
      <alignment horizontal="center" vertical="center"/>
      <protection locked="0"/>
    </xf>
    <xf numFmtId="0" fontId="0" fillId="2" borderId="0" xfId="0" applyFill="1" applyAlignment="1">
      <alignment horizontal="center" vertical="center"/>
    </xf>
    <xf numFmtId="0" fontId="0" fillId="2" borderId="0" xfId="0" applyFill="1" applyAlignment="1">
      <alignment vertical="top" wrapText="1"/>
    </xf>
    <xf numFmtId="0" fontId="26" fillId="2" borderId="0" xfId="0" applyFont="1" applyFill="1" applyAlignment="1">
      <alignment vertical="center"/>
    </xf>
    <xf numFmtId="0" fontId="26" fillId="2" borderId="0" xfId="0" applyFont="1" applyFill="1"/>
    <xf numFmtId="0" fontId="26" fillId="2" borderId="0" xfId="0" applyFont="1" applyFill="1" applyAlignment="1">
      <alignment horizontal="center"/>
    </xf>
    <xf numFmtId="0" fontId="26" fillId="2" borderId="0" xfId="0" applyFont="1" applyFill="1" applyAlignment="1"/>
    <xf numFmtId="0" fontId="1" fillId="2" borderId="0" xfId="0" applyFont="1" applyFill="1" applyAlignment="1">
      <alignment horizontal="left" vertical="center"/>
    </xf>
    <xf numFmtId="0" fontId="1" fillId="2" borderId="0" xfId="0" applyFont="1" applyFill="1"/>
    <xf numFmtId="0" fontId="16" fillId="2" borderId="0" xfId="0" applyFont="1" applyFill="1" applyProtection="1">
      <protection locked="0"/>
    </xf>
    <xf numFmtId="0" fontId="7" fillId="2" borderId="0" xfId="0" applyFont="1" applyFill="1"/>
    <xf numFmtId="0" fontId="27" fillId="2" borderId="0" xfId="0" applyFont="1" applyFill="1"/>
    <xf numFmtId="0" fontId="0" fillId="2" borderId="0" xfId="0" applyFill="1" applyBorder="1"/>
    <xf numFmtId="0" fontId="0" fillId="2" borderId="2" xfId="0" applyFill="1" applyBorder="1"/>
    <xf numFmtId="0" fontId="0" fillId="2" borderId="3" xfId="0" applyFill="1" applyBorder="1"/>
    <xf numFmtId="0" fontId="0" fillId="2" borderId="4" xfId="0" applyFill="1" applyBorder="1"/>
    <xf numFmtId="0" fontId="0" fillId="2" borderId="7" xfId="0" applyFill="1" applyBorder="1"/>
    <xf numFmtId="0" fontId="0" fillId="2" borderId="8" xfId="0" applyFill="1" applyBorder="1"/>
    <xf numFmtId="0" fontId="0" fillId="2" borderId="5" xfId="0" applyFill="1" applyBorder="1"/>
    <xf numFmtId="0" fontId="0" fillId="2" borderId="1" xfId="0" applyFill="1" applyBorder="1"/>
    <xf numFmtId="0" fontId="0" fillId="2" borderId="6" xfId="0" applyFill="1" applyBorder="1"/>
    <xf numFmtId="0" fontId="0" fillId="2" borderId="0" xfId="0" applyFill="1" applyAlignment="1">
      <alignment wrapText="1"/>
    </xf>
    <xf numFmtId="0" fontId="0" fillId="2" borderId="0" xfId="0" applyFill="1" applyAlignment="1">
      <alignment horizontal="center"/>
    </xf>
    <xf numFmtId="0" fontId="7" fillId="2" borderId="10" xfId="0" applyFont="1" applyFill="1" applyBorder="1"/>
    <xf numFmtId="0" fontId="0" fillId="2" borderId="1" xfId="0" applyFill="1" applyBorder="1" applyAlignment="1">
      <alignment horizontal="center" vertical="center"/>
    </xf>
    <xf numFmtId="0" fontId="20" fillId="2" borderId="0" xfId="0" applyFont="1" applyFill="1"/>
    <xf numFmtId="0" fontId="29" fillId="2" borderId="0" xfId="0" applyFont="1" applyFill="1"/>
    <xf numFmtId="0" fontId="30" fillId="2" borderId="0" xfId="0" applyFont="1" applyFill="1" applyAlignment="1">
      <alignment horizontal="left" vertical="center" wrapText="1" indent="1"/>
    </xf>
    <xf numFmtId="0" fontId="31" fillId="2" borderId="10" xfId="0" applyFont="1" applyFill="1" applyBorder="1"/>
    <xf numFmtId="0" fontId="31" fillId="2" borderId="0" xfId="0" applyFont="1" applyFill="1" applyBorder="1"/>
    <xf numFmtId="0" fontId="0" fillId="2" borderId="0" xfId="0" applyFont="1" applyFill="1" applyBorder="1" applyAlignment="1">
      <alignment vertical="center" wrapText="1"/>
    </xf>
    <xf numFmtId="0" fontId="25" fillId="2" borderId="0" xfId="0" applyFont="1" applyFill="1" applyBorder="1" applyAlignment="1">
      <alignment vertical="center" wrapText="1"/>
    </xf>
    <xf numFmtId="0" fontId="0" fillId="2" borderId="0" xfId="0" applyFont="1" applyFill="1" applyBorder="1" applyAlignment="1">
      <alignment vertical="top" wrapText="1"/>
    </xf>
    <xf numFmtId="0" fontId="0" fillId="2" borderId="0" xfId="0" applyFont="1" applyFill="1" applyBorder="1"/>
    <xf numFmtId="0" fontId="0" fillId="2" borderId="0" xfId="0" applyFont="1" applyFill="1" applyBorder="1" applyAlignment="1">
      <alignment horizontal="center" vertical="center"/>
    </xf>
    <xf numFmtId="0" fontId="0" fillId="2" borderId="0" xfId="0" applyFont="1" applyFill="1" applyBorder="1" applyAlignment="1" applyProtection="1">
      <alignment horizontal="center" vertical="center"/>
      <protection locked="0"/>
    </xf>
    <xf numFmtId="0" fontId="0" fillId="2" borderId="0" xfId="0" applyFont="1" applyFill="1" applyBorder="1" applyAlignment="1">
      <alignment horizontal="right" vertical="center"/>
    </xf>
    <xf numFmtId="0" fontId="0" fillId="2" borderId="0" xfId="0" applyFont="1" applyFill="1" applyBorder="1" applyAlignment="1">
      <alignment horizontal="left" vertical="center"/>
    </xf>
    <xf numFmtId="0" fontId="0" fillId="2" borderId="0" xfId="0" applyFont="1" applyFill="1" applyBorder="1" applyProtection="1">
      <protection locked="0"/>
    </xf>
    <xf numFmtId="0" fontId="0" fillId="8" borderId="0" xfId="0" applyFont="1" applyFill="1" applyBorder="1" applyAlignment="1" applyProtection="1">
      <alignment horizontal="center" vertical="center"/>
      <protection locked="0"/>
    </xf>
    <xf numFmtId="0" fontId="22" fillId="2" borderId="0" xfId="0" applyFont="1" applyFill="1" applyBorder="1"/>
    <xf numFmtId="0" fontId="22" fillId="4" borderId="0" xfId="0" applyFont="1" applyFill="1" applyBorder="1" applyAlignment="1">
      <alignment horizontal="center" vertical="center"/>
    </xf>
    <xf numFmtId="0" fontId="0" fillId="2" borderId="1" xfId="0" applyFont="1" applyFill="1" applyBorder="1" applyAlignment="1" applyProtection="1">
      <alignment horizontal="center" vertical="center"/>
      <protection locked="0"/>
    </xf>
    <xf numFmtId="0" fontId="5" fillId="2" borderId="0" xfId="0" applyFont="1" applyFill="1" applyBorder="1"/>
    <xf numFmtId="0" fontId="33" fillId="2" borderId="0" xfId="0" applyFont="1" applyFill="1" applyBorder="1" applyAlignment="1">
      <alignment vertical="center" wrapText="1"/>
    </xf>
    <xf numFmtId="0" fontId="34" fillId="2" borderId="0" xfId="0" applyFont="1" applyFill="1"/>
    <xf numFmtId="0" fontId="34" fillId="2" borderId="0" xfId="0" applyFont="1" applyFill="1" applyBorder="1" applyAlignment="1">
      <alignment vertical="top" wrapText="1"/>
    </xf>
    <xf numFmtId="0" fontId="34" fillId="2" borderId="0" xfId="0" applyFont="1" applyFill="1" applyBorder="1"/>
    <xf numFmtId="0" fontId="34" fillId="2" borderId="0" xfId="0" applyFont="1" applyFill="1" applyBorder="1" applyAlignment="1">
      <alignment horizontal="right" vertical="center"/>
    </xf>
    <xf numFmtId="0" fontId="34" fillId="2" borderId="0" xfId="0" applyFont="1" applyFill="1" applyProtection="1">
      <protection locked="0"/>
    </xf>
    <xf numFmtId="0" fontId="34" fillId="2" borderId="0" xfId="0" applyFont="1" applyFill="1" applyBorder="1" applyAlignment="1">
      <alignment horizontal="right"/>
    </xf>
    <xf numFmtId="0" fontId="35" fillId="2" borderId="0" xfId="0" applyFont="1" applyFill="1" applyBorder="1" applyAlignment="1">
      <alignment vertical="top" wrapText="1"/>
    </xf>
    <xf numFmtId="0" fontId="0" fillId="2" borderId="0" xfId="0" applyFill="1" applyAlignment="1">
      <alignment horizontal="left" vertical="center"/>
    </xf>
    <xf numFmtId="164" fontId="2" fillId="10" borderId="1" xfId="0" applyNumberFormat="1" applyFont="1" applyFill="1" applyBorder="1" applyAlignment="1">
      <alignment horizontal="center" vertical="center"/>
    </xf>
    <xf numFmtId="0" fontId="38" fillId="2" borderId="0" xfId="0" applyFont="1" applyFill="1" applyBorder="1" applyAlignment="1">
      <alignment vertical="center" wrapText="1"/>
    </xf>
    <xf numFmtId="0" fontId="0" fillId="4" borderId="0" xfId="0" applyFont="1" applyFill="1" applyBorder="1" applyAlignment="1">
      <alignment horizontal="center" vertical="center"/>
    </xf>
    <xf numFmtId="0" fontId="39" fillId="2" borderId="0" xfId="0" applyFont="1" applyFill="1" applyBorder="1" applyAlignment="1">
      <alignment vertical="center" wrapText="1"/>
    </xf>
    <xf numFmtId="0" fontId="34" fillId="2" borderId="0" xfId="0" applyFont="1" applyFill="1" applyBorder="1" applyAlignment="1" applyProtection="1">
      <alignment horizontal="right" vertical="center"/>
      <protection locked="0"/>
    </xf>
    <xf numFmtId="0" fontId="35" fillId="2" borderId="0" xfId="0" applyFont="1" applyFill="1" applyBorder="1" applyAlignment="1">
      <alignment vertical="center"/>
    </xf>
    <xf numFmtId="0" fontId="12" fillId="0" borderId="0" xfId="1" applyFont="1" applyFill="1"/>
    <xf numFmtId="0" fontId="12" fillId="2" borderId="0" xfId="1" applyFont="1" applyFill="1" applyAlignment="1">
      <alignment horizontal="left" vertical="center" wrapText="1"/>
    </xf>
    <xf numFmtId="0" fontId="3" fillId="2" borderId="0" xfId="0" applyFont="1" applyFill="1" applyAlignment="1">
      <alignment horizontal="center" vertical="center" wrapText="1"/>
    </xf>
    <xf numFmtId="0" fontId="0" fillId="2" borderId="0" xfId="0" applyFill="1" applyAlignment="1">
      <alignment horizontal="center" vertical="center" wrapText="1"/>
    </xf>
    <xf numFmtId="0" fontId="6" fillId="2" borderId="0" xfId="0" applyFont="1" applyFill="1" applyAlignment="1">
      <alignment horizontal="center"/>
    </xf>
    <xf numFmtId="0" fontId="2" fillId="2" borderId="0" xfId="0" applyFont="1" applyFill="1" applyAlignment="1">
      <alignment horizontal="center" vertical="center" wrapText="1"/>
    </xf>
    <xf numFmtId="0" fontId="6" fillId="0" borderId="0" xfId="1" applyFont="1" applyFill="1"/>
    <xf numFmtId="0" fontId="40" fillId="0" borderId="0" xfId="1" applyFont="1" applyFill="1"/>
    <xf numFmtId="0" fontId="12" fillId="0" borderId="0" xfId="1" applyFont="1"/>
    <xf numFmtId="0" fontId="24" fillId="0" borderId="0" xfId="1" applyFont="1" applyFill="1"/>
    <xf numFmtId="0" fontId="3" fillId="2" borderId="0" xfId="0"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11" fillId="3" borderId="0" xfId="1" applyFont="1" applyFill="1" applyAlignment="1">
      <alignment horizontal="left" vertical="center"/>
    </xf>
    <xf numFmtId="0" fontId="0" fillId="2" borderId="0" xfId="0" applyFill="1" applyAlignment="1">
      <alignment horizontal="left" vertical="center" wrapText="1"/>
    </xf>
    <xf numFmtId="0" fontId="11" fillId="3" borderId="0" xfId="1" applyFont="1" applyFill="1" applyAlignment="1">
      <alignment horizontal="left" vertical="center" wrapText="1"/>
    </xf>
    <xf numFmtId="0" fontId="0" fillId="2" borderId="0" xfId="0" applyFill="1" applyAlignment="1">
      <alignment horizontal="left" vertical="center"/>
    </xf>
    <xf numFmtId="0" fontId="11" fillId="3" borderId="0" xfId="1" applyFont="1" applyFill="1" applyAlignment="1">
      <alignment vertical="center" wrapText="1"/>
    </xf>
    <xf numFmtId="0" fontId="0" fillId="2" borderId="0" xfId="0" applyFill="1" applyAlignment="1">
      <alignment horizontal="left" vertical="top" wrapText="1"/>
    </xf>
    <xf numFmtId="0" fontId="0" fillId="2" borderId="0" xfId="0" applyFont="1" applyFill="1" applyAlignment="1">
      <alignment horizontal="left" vertical="center" wrapText="1"/>
    </xf>
    <xf numFmtId="0" fontId="21" fillId="2" borderId="0" xfId="0" applyFont="1" applyFill="1" applyAlignment="1">
      <alignment horizontal="left" vertical="center"/>
    </xf>
    <xf numFmtId="0" fontId="20" fillId="2" borderId="0" xfId="0" applyFont="1" applyFill="1" applyBorder="1" applyAlignment="1">
      <alignment horizontal="center" vertical="center"/>
    </xf>
    <xf numFmtId="0" fontId="25" fillId="4" borderId="0" xfId="1" applyFont="1" applyFill="1" applyAlignment="1">
      <alignment horizontal="left" vertical="center"/>
    </xf>
    <xf numFmtId="0" fontId="22" fillId="4" borderId="1" xfId="0" applyFont="1" applyFill="1" applyBorder="1" applyAlignment="1">
      <alignment horizontal="left" vertical="center"/>
    </xf>
    <xf numFmtId="0" fontId="22" fillId="2" borderId="0" xfId="0" applyFont="1" applyFill="1" applyAlignment="1">
      <alignment horizontal="center" vertical="center"/>
    </xf>
    <xf numFmtId="0" fontId="0" fillId="2" borderId="0" xfId="0" applyFill="1" applyAlignment="1">
      <alignment horizontal="center" vertical="center"/>
    </xf>
    <xf numFmtId="0" fontId="22" fillId="2" borderId="0" xfId="0" applyFont="1" applyFill="1" applyAlignment="1">
      <alignment horizontal="left"/>
    </xf>
    <xf numFmtId="0" fontId="22" fillId="2" borderId="0" xfId="0" applyFont="1" applyFill="1" applyAlignment="1">
      <alignment horizontal="left" vertical="center"/>
    </xf>
    <xf numFmtId="0" fontId="22" fillId="2" borderId="0" xfId="0" applyFont="1" applyFill="1" applyAlignment="1">
      <alignment horizontal="left" vertical="center" wrapText="1"/>
    </xf>
    <xf numFmtId="0" fontId="26" fillId="2" borderId="0" xfId="0" applyFont="1" applyFill="1" applyAlignment="1">
      <alignment horizontal="center" vertical="center"/>
    </xf>
    <xf numFmtId="0" fontId="25" fillId="4" borderId="0" xfId="1" applyFont="1" applyFill="1" applyAlignment="1">
      <alignment horizontal="left" vertical="center" wrapText="1"/>
    </xf>
    <xf numFmtId="0" fontId="0" fillId="7" borderId="2" xfId="0" applyFill="1" applyBorder="1" applyAlignment="1">
      <alignment horizontal="left" vertical="center"/>
    </xf>
    <xf numFmtId="0" fontId="0" fillId="7" borderId="3" xfId="0" applyFill="1" applyBorder="1" applyAlignment="1">
      <alignment horizontal="left" vertical="center"/>
    </xf>
    <xf numFmtId="0" fontId="0" fillId="7" borderId="4" xfId="0" applyFill="1" applyBorder="1" applyAlignment="1">
      <alignment horizontal="left" vertical="center"/>
    </xf>
    <xf numFmtId="0" fontId="0" fillId="7" borderId="5" xfId="0" applyFill="1" applyBorder="1" applyAlignment="1">
      <alignment horizontal="left" vertical="center"/>
    </xf>
    <xf numFmtId="0" fontId="0" fillId="7" borderId="1" xfId="0" applyFill="1" applyBorder="1" applyAlignment="1">
      <alignment horizontal="left" vertical="center"/>
    </xf>
    <xf numFmtId="0" fontId="0" fillId="7" borderId="6" xfId="0" applyFill="1" applyBorder="1" applyAlignment="1">
      <alignment horizontal="left" vertical="center"/>
    </xf>
    <xf numFmtId="0" fontId="16" fillId="5" borderId="2" xfId="0" applyFont="1" applyFill="1" applyBorder="1" applyAlignment="1">
      <alignment horizontal="left" vertical="center"/>
    </xf>
    <xf numFmtId="0" fontId="16" fillId="5" borderId="3" xfId="0" applyFont="1" applyFill="1" applyBorder="1" applyAlignment="1">
      <alignment horizontal="left" vertical="center"/>
    </xf>
    <xf numFmtId="0" fontId="16" fillId="5" borderId="4" xfId="0" applyFont="1" applyFill="1" applyBorder="1" applyAlignment="1">
      <alignment horizontal="left" vertical="center"/>
    </xf>
    <xf numFmtId="0" fontId="16" fillId="5" borderId="5" xfId="0" applyFont="1" applyFill="1" applyBorder="1" applyAlignment="1">
      <alignment horizontal="left" vertical="center"/>
    </xf>
    <xf numFmtId="0" fontId="16" fillId="5" borderId="1" xfId="0" applyFont="1" applyFill="1" applyBorder="1" applyAlignment="1">
      <alignment horizontal="left" vertical="center"/>
    </xf>
    <xf numFmtId="0" fontId="16" fillId="5" borderId="6" xfId="0" applyFont="1" applyFill="1" applyBorder="1" applyAlignment="1">
      <alignment horizontal="left" vertical="center"/>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0" fontId="25" fillId="4" borderId="0" xfId="1" applyFont="1" applyFill="1" applyBorder="1" applyAlignment="1">
      <alignment horizontal="left" vertical="center"/>
    </xf>
    <xf numFmtId="0" fontId="25" fillId="4" borderId="9" xfId="1" applyFont="1" applyFill="1" applyBorder="1" applyAlignment="1">
      <alignment horizontal="left" vertical="center"/>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2" borderId="8" xfId="0" applyFill="1" applyBorder="1" applyAlignment="1">
      <alignment horizontal="left" vertical="top" wrapText="1"/>
    </xf>
    <xf numFmtId="0" fontId="0" fillId="6" borderId="2" xfId="0" applyFill="1" applyBorder="1" applyAlignment="1">
      <alignment horizontal="left"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6" borderId="1" xfId="0" applyFill="1" applyBorder="1" applyAlignment="1">
      <alignment horizontal="left" vertical="center"/>
    </xf>
    <xf numFmtId="0" fontId="0" fillId="6" borderId="6" xfId="0" applyFill="1" applyBorder="1" applyAlignment="1">
      <alignment horizontal="left" vertical="center"/>
    </xf>
    <xf numFmtId="0" fontId="2" fillId="2" borderId="0" xfId="0" applyFont="1" applyFill="1" applyAlignment="1">
      <alignment horizontal="center" vertical="center"/>
    </xf>
    <xf numFmtId="0" fontId="17" fillId="2" borderId="0" xfId="0" applyFont="1" applyFill="1" applyAlignment="1">
      <alignment horizontal="left" vertical="center" wrapText="1"/>
    </xf>
    <xf numFmtId="0" fontId="11" fillId="4" borderId="0" xfId="1" applyFont="1" applyFill="1" applyAlignment="1">
      <alignment horizontal="left" vertical="center" wrapText="1"/>
    </xf>
    <xf numFmtId="0" fontId="3" fillId="4" borderId="11" xfId="0" applyFont="1" applyFill="1" applyBorder="1" applyAlignment="1">
      <alignment horizontal="left" vertical="center"/>
    </xf>
    <xf numFmtId="0" fontId="0" fillId="4" borderId="0" xfId="0" applyFill="1" applyBorder="1" applyAlignment="1">
      <alignment horizontal="left" vertical="center"/>
    </xf>
    <xf numFmtId="0" fontId="0" fillId="4" borderId="9" xfId="0" applyFill="1" applyBorder="1" applyAlignment="1">
      <alignment horizontal="left" vertical="center"/>
    </xf>
    <xf numFmtId="0" fontId="0" fillId="4" borderId="11" xfId="0" applyFill="1" applyBorder="1" applyAlignment="1">
      <alignment horizontal="left" vertical="center"/>
    </xf>
    <xf numFmtId="0" fontId="28" fillId="2" borderId="0" xfId="0" applyFont="1" applyFill="1" applyAlignment="1">
      <alignment horizontal="left" vertical="center" wrapText="1"/>
    </xf>
    <xf numFmtId="0" fontId="11" fillId="4" borderId="0" xfId="1" applyFont="1" applyFill="1" applyBorder="1" applyAlignment="1">
      <alignment horizontal="left" vertical="center" wrapText="1"/>
    </xf>
    <xf numFmtId="0" fontId="11" fillId="4" borderId="9" xfId="1" applyFont="1" applyFill="1" applyBorder="1" applyAlignment="1">
      <alignment horizontal="left" vertical="center" wrapText="1"/>
    </xf>
    <xf numFmtId="0" fontId="0" fillId="2" borderId="0" xfId="0" applyFont="1" applyFill="1" applyBorder="1" applyAlignment="1">
      <alignment horizontal="left" vertical="center"/>
    </xf>
    <xf numFmtId="0" fontId="25" fillId="4" borderId="11" xfId="0" applyFont="1" applyFill="1" applyBorder="1" applyAlignment="1">
      <alignment vertical="center" wrapText="1"/>
    </xf>
    <xf numFmtId="0" fontId="25" fillId="4" borderId="0" xfId="0" applyFont="1" applyFill="1" applyBorder="1" applyAlignment="1">
      <alignment vertical="center" wrapText="1"/>
    </xf>
    <xf numFmtId="0" fontId="32" fillId="2" borderId="0" xfId="0" applyFont="1" applyFill="1" applyBorder="1" applyAlignment="1">
      <alignment horizontal="left" vertical="center" wrapText="1"/>
    </xf>
    <xf numFmtId="0" fontId="0"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2" borderId="1" xfId="0" applyFont="1" applyFill="1" applyBorder="1" applyAlignment="1" applyProtection="1">
      <alignment horizontal="center" vertical="center"/>
      <protection locked="0"/>
    </xf>
    <xf numFmtId="14" fontId="0" fillId="2" borderId="0" xfId="0" applyNumberFormat="1"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37" fillId="2" borderId="0" xfId="0" applyFont="1" applyFill="1" applyAlignment="1">
      <alignment horizontal="center" vertical="center"/>
    </xf>
    <xf numFmtId="0" fontId="3" fillId="4" borderId="11" xfId="0" applyFont="1" applyFill="1" applyBorder="1" applyAlignment="1">
      <alignment horizontal="left" vertical="center" wrapText="1"/>
    </xf>
    <xf numFmtId="0" fontId="3" fillId="4" borderId="0" xfId="0" applyFont="1" applyFill="1" applyAlignment="1">
      <alignment horizontal="left" vertical="center" wrapText="1"/>
    </xf>
    <xf numFmtId="0" fontId="36" fillId="2" borderId="0" xfId="0" applyFont="1" applyFill="1" applyAlignment="1">
      <alignment horizontal="center" vertical="center"/>
    </xf>
    <xf numFmtId="0" fontId="3" fillId="9" borderId="0" xfId="1" applyFont="1" applyFill="1" applyAlignment="1">
      <alignment horizontal="left" vertical="center" wrapText="1"/>
    </xf>
    <xf numFmtId="0" fontId="38" fillId="9" borderId="0" xfId="0" applyFont="1" applyFill="1" applyBorder="1" applyAlignment="1">
      <alignment horizontal="left" vertical="center" wrapText="1"/>
    </xf>
    <xf numFmtId="0" fontId="0" fillId="4" borderId="0" xfId="0" applyFont="1" applyFill="1" applyBorder="1" applyAlignment="1">
      <alignment horizontal="center" vertical="center"/>
    </xf>
    <xf numFmtId="0" fontId="32" fillId="4" borderId="0" xfId="0" applyFont="1" applyFill="1" applyBorder="1" applyAlignment="1">
      <alignment horizontal="center" vertical="center"/>
    </xf>
    <xf numFmtId="0" fontId="7" fillId="2" borderId="0" xfId="0" applyFont="1" applyFill="1" applyAlignment="1">
      <alignment horizontal="left" vertical="top" wrapText="1"/>
    </xf>
    <xf numFmtId="0" fontId="9" fillId="0" borderId="0" xfId="1" applyFill="1"/>
  </cellXfs>
  <cellStyles count="2">
    <cellStyle name="Hyperlink" xfId="1" builtinId="8"/>
    <cellStyle name="Normal" xfId="0" builtinId="0"/>
  </cellStyles>
  <dxfs count="186">
    <dxf>
      <fill>
        <patternFill>
          <bgColor theme="7" tint="0.39994506668294322"/>
        </patternFill>
      </fill>
    </dxf>
    <dxf>
      <font>
        <color theme="0"/>
      </font>
      <fill>
        <patternFill>
          <bgColor rgb="FFFF0000"/>
        </patternFill>
      </fill>
    </dxf>
    <dxf>
      <font>
        <color theme="0"/>
      </font>
      <fill>
        <patternFill>
          <bgColor theme="5"/>
        </patternFill>
      </fill>
    </dxf>
    <dxf>
      <font>
        <color theme="0"/>
      </font>
      <fill>
        <patternFill>
          <bgColor rgb="FFFF0000"/>
        </patternFill>
      </fill>
    </dxf>
    <dxf>
      <font>
        <color theme="0"/>
      </font>
      <fill>
        <patternFill>
          <bgColor theme="5"/>
        </patternFill>
      </fill>
    </dxf>
    <dxf>
      <fill>
        <patternFill>
          <bgColor theme="7" tint="0.39994506668294322"/>
        </patternFill>
      </fill>
    </dxf>
    <dxf>
      <font>
        <color theme="0"/>
      </font>
    </dxf>
    <dxf>
      <border>
        <bottom style="thin">
          <color auto="1"/>
        </bottom>
        <vertical/>
        <horizontal/>
      </border>
    </dxf>
    <dxf>
      <fill>
        <patternFill>
          <bgColor rgb="FFFFFF00"/>
        </patternFill>
      </fill>
    </dxf>
    <dxf>
      <fill>
        <patternFill>
          <bgColor theme="9" tint="0.39994506668294322"/>
        </patternFill>
      </fill>
    </dxf>
    <dxf>
      <fill>
        <patternFill>
          <bgColor theme="4" tint="0.39994506668294322"/>
        </patternFill>
      </fill>
    </dxf>
    <dxf>
      <font>
        <color theme="0"/>
      </font>
      <fill>
        <patternFill>
          <bgColor theme="8" tint="0.39994506668294322"/>
        </patternFill>
      </fill>
    </dxf>
    <dxf>
      <font>
        <color theme="0"/>
      </font>
      <fill>
        <patternFill>
          <bgColor theme="8"/>
        </patternFill>
      </fill>
    </dxf>
    <dxf>
      <font>
        <color theme="0"/>
      </font>
      <fill>
        <patternFill>
          <bgColor theme="8" tint="-0.24994659260841701"/>
        </patternFill>
      </fill>
    </dxf>
    <dxf>
      <font>
        <color theme="0"/>
      </font>
      <fill>
        <patternFill>
          <bgColor theme="0"/>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7" tint="0.39994506668294322"/>
        </patternFill>
      </fill>
    </dxf>
    <dxf>
      <fill>
        <patternFill>
          <bgColor theme="5" tint="0.59996337778862885"/>
        </patternFill>
      </fill>
    </dxf>
    <dxf>
      <fill>
        <patternFill>
          <bgColor theme="9" tint="0.59996337778862885"/>
        </patternFill>
      </fill>
    </dxf>
    <dxf>
      <font>
        <color theme="0"/>
      </font>
      <fill>
        <patternFill>
          <bgColor theme="0" tint="-0.499984740745262"/>
        </patternFill>
      </fill>
    </dxf>
    <dxf>
      <font>
        <color theme="0"/>
      </font>
      <fill>
        <patternFill>
          <bgColor theme="0" tint="-0.499984740745262"/>
        </patternFill>
      </fill>
    </dxf>
    <dxf>
      <fill>
        <patternFill>
          <bgColor theme="5" tint="0.59996337778862885"/>
        </patternFill>
      </fill>
    </dxf>
    <dxf>
      <fill>
        <patternFill>
          <bgColor theme="9" tint="0.59996337778862885"/>
        </patternFill>
      </fill>
    </dxf>
    <dxf>
      <font>
        <color theme="0"/>
      </font>
      <fill>
        <patternFill>
          <bgColor theme="9" tint="-0.24994659260841701"/>
        </patternFill>
      </fill>
    </dxf>
    <dxf>
      <font>
        <color theme="0"/>
      </font>
      <fill>
        <patternFill>
          <bgColor rgb="FFFF0000"/>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ont>
        <color theme="0"/>
      </font>
      <fill>
        <patternFill>
          <bgColor theme="9" tint="-0.24994659260841701"/>
        </patternFill>
      </fill>
    </dxf>
    <dxf>
      <font>
        <color theme="0"/>
      </font>
      <fill>
        <patternFill>
          <bgColor rgb="FFFF0000"/>
        </patternFill>
      </fill>
    </dxf>
    <dxf>
      <font>
        <color theme="5" tint="-0.24994659260841701"/>
      </font>
    </dxf>
    <dxf>
      <font>
        <color theme="8"/>
      </font>
    </dxf>
    <dxf>
      <font>
        <b/>
        <i val="0"/>
        <color rgb="FFFF000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0"/>
      </font>
      <fill>
        <patternFill>
          <bgColor rgb="FFFF0000"/>
        </patternFill>
      </fill>
    </dxf>
    <dxf>
      <font>
        <color theme="0"/>
      </font>
      <fill>
        <patternFill>
          <bgColor theme="5"/>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dxf>
    <dxf>
      <font>
        <color theme="0"/>
      </font>
      <fill>
        <patternFill>
          <bgColor theme="0" tint="-0.34998626667073579"/>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rgb="FFC00000"/>
      </font>
    </dxf>
    <dxf>
      <font>
        <color rgb="FFC00000"/>
      </font>
    </dxf>
    <dxf>
      <font>
        <color rgb="FFC00000"/>
      </font>
    </dxf>
    <dxf>
      <font>
        <color theme="0"/>
      </font>
    </dxf>
    <dxf>
      <font>
        <color theme="0"/>
      </font>
    </dxf>
    <dxf>
      <font>
        <color theme="0"/>
      </font>
      <fill>
        <patternFill>
          <bgColor theme="9" tint="-0.24994659260841701"/>
        </patternFill>
      </fill>
    </dxf>
    <dxf>
      <fill>
        <patternFill>
          <bgColor theme="9" tint="0.39994506668294322"/>
        </patternFill>
      </fill>
    </dxf>
    <dxf>
      <fill>
        <patternFill>
          <bgColor theme="5" tint="0.59996337778862885"/>
        </patternFill>
      </fill>
    </dxf>
    <dxf>
      <font>
        <color theme="0"/>
      </font>
      <fill>
        <patternFill>
          <bgColor rgb="FFFF0000"/>
        </patternFill>
      </fill>
    </dxf>
    <dxf>
      <font>
        <color theme="0"/>
      </font>
      <fill>
        <patternFill>
          <bgColor rgb="FFC00000"/>
        </patternFill>
      </fill>
    </dxf>
    <dxf>
      <font>
        <color theme="0"/>
      </font>
    </dxf>
    <dxf>
      <font>
        <color theme="0"/>
      </font>
      <fill>
        <patternFill>
          <bgColor theme="9" tint="-0.24994659260841701"/>
        </patternFill>
      </fill>
    </dxf>
    <dxf>
      <fill>
        <patternFill>
          <bgColor theme="9" tint="0.39994506668294322"/>
        </patternFill>
      </fill>
    </dxf>
    <dxf>
      <fill>
        <patternFill>
          <bgColor theme="5" tint="0.59996337778862885"/>
        </patternFill>
      </fill>
    </dxf>
    <dxf>
      <fill>
        <patternFill>
          <bgColor theme="5" tint="0.39994506668294322"/>
        </patternFill>
      </fill>
    </dxf>
    <dxf>
      <font>
        <color theme="0"/>
      </font>
      <fill>
        <patternFill>
          <bgColor rgb="FFFF0000"/>
        </patternFill>
      </fill>
    </dxf>
    <dxf>
      <font>
        <color theme="0"/>
      </font>
      <fill>
        <patternFill>
          <bgColor rgb="FFC00000"/>
        </patternFill>
      </fill>
    </dxf>
    <dxf>
      <font>
        <color theme="0"/>
      </font>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
      <font>
        <color theme="0"/>
      </font>
      <fill>
        <patternFill>
          <bgColor rgb="FF0070C0"/>
        </patternFill>
      </fill>
    </dxf>
    <dxf>
      <font>
        <color theme="0"/>
      </font>
      <fill>
        <patternFill>
          <bgColor theme="5"/>
        </patternFill>
      </fill>
    </dxf>
    <dxf>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font>
        <color theme="0"/>
      </font>
      <fill>
        <patternFill>
          <bgColor rgb="FF00B0F0"/>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dxf>
    <dxf>
      <font>
        <color theme="0"/>
      </font>
      <fill>
        <patternFill>
          <bgColor rgb="FF00B0F0"/>
        </patternFill>
      </fill>
    </dxf>
    <dxf>
      <font>
        <color theme="0"/>
      </font>
      <fill>
        <patternFill>
          <bgColor rgb="FF0070C0"/>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font>
        <color theme="0"/>
      </font>
      <fill>
        <patternFill>
          <bgColor rgb="FF00B0F0"/>
        </patternFill>
      </fill>
    </dxf>
    <dxf>
      <font>
        <color theme="0"/>
      </font>
      <fill>
        <patternFill>
          <bgColor rgb="FF0070C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dxf>
    <dxf>
      <font>
        <color theme="0"/>
      </font>
      <fill>
        <patternFill>
          <bgColor rgb="FF00B0F0"/>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font>
        <color theme="0"/>
      </font>
      <fill>
        <patternFill>
          <bgColor rgb="FF00B0F0"/>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font>
        <color theme="0"/>
      </font>
      <fill>
        <patternFill>
          <bgColor rgb="FFFF0000"/>
        </patternFill>
      </fill>
    </dxf>
    <dxf>
      <fill>
        <patternFill>
          <bgColor rgb="FFFFFF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fill>
        <patternFill>
          <bgColor rgb="FF0070C0"/>
        </patternFill>
      </fill>
    </dxf>
    <dxf>
      <fill>
        <patternFill>
          <bgColor theme="0" tint="-0.14996795556505021"/>
        </patternFill>
      </fill>
    </dxf>
    <dxf>
      <font>
        <color theme="0"/>
      </font>
      <fill>
        <patternFill>
          <bgColor rgb="FFFF0000"/>
        </patternFill>
      </fill>
    </dxf>
    <dxf>
      <fill>
        <patternFill>
          <bgColor rgb="FFFFFF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
      <font>
        <color theme="0"/>
      </font>
      <fill>
        <patternFill>
          <bgColor theme="5"/>
        </patternFill>
      </fill>
    </dxf>
    <dxf>
      <fill>
        <patternFill>
          <bgColor theme="0" tint="-0.14996795556505021"/>
        </patternFill>
      </fill>
    </dxf>
    <dxf>
      <fill>
        <patternFill>
          <bgColor rgb="FFFFFF00"/>
        </patternFill>
      </fill>
    </dxf>
    <dxf>
      <font>
        <color theme="0"/>
      </font>
      <fill>
        <patternFill>
          <bgColor rgb="FF00B0F0"/>
        </patternFill>
      </fill>
    </dxf>
    <dxf>
      <font>
        <color theme="0"/>
      </font>
      <fill>
        <patternFill>
          <bgColor theme="5"/>
        </patternFill>
      </fill>
    </dxf>
    <dxf>
      <font>
        <color theme="0"/>
      </font>
      <fill>
        <patternFill>
          <bgColor rgb="FFFF0000"/>
        </patternFill>
      </fill>
    </dxf>
    <dxf>
      <border>
        <left style="thin">
          <color auto="1"/>
        </left>
        <right style="thin">
          <color auto="1"/>
        </right>
        <top style="thin">
          <color auto="1"/>
        </top>
        <bottom style="thin">
          <color auto="1"/>
        </bottom>
        <vertical/>
        <horizontal/>
      </border>
    </dxf>
    <dxf>
      <fill>
        <patternFill>
          <bgColor rgb="FFFFFF00"/>
        </patternFill>
      </fill>
    </dxf>
    <dxf>
      <fill>
        <patternFill>
          <bgColor theme="0" tint="-0.14996795556505021"/>
        </patternFill>
      </fill>
    </dxf>
    <dxf>
      <font>
        <color theme="0"/>
      </font>
      <fill>
        <patternFill>
          <bgColor rgb="FFFF0000"/>
        </patternFill>
      </fill>
    </dxf>
    <dxf>
      <font>
        <color theme="0"/>
      </font>
      <fill>
        <patternFill>
          <bgColor rgb="FF00B0F0"/>
        </patternFill>
      </fill>
    </dxf>
    <dxf>
      <font>
        <color theme="0"/>
      </font>
      <fill>
        <patternFill>
          <bgColor theme="5"/>
        </patternFill>
      </fill>
    </dxf>
    <dxf>
      <font>
        <color theme="0"/>
      </font>
      <fill>
        <patternFill>
          <bgColor rgb="FF0070C0"/>
        </patternFill>
      </fill>
    </dxf>
    <dxf>
      <border>
        <left style="thin">
          <color auto="1"/>
        </left>
        <right style="thin">
          <color auto="1"/>
        </right>
        <top style="thin">
          <color auto="1"/>
        </top>
        <bottom style="thin">
          <color auto="1"/>
        </bottom>
        <vertical/>
        <horizontal/>
      </border>
    </dxf>
    <dxf>
      <font>
        <color theme="0"/>
      </font>
      <fill>
        <patternFill>
          <bgColor rgb="FFFF0000"/>
        </patternFill>
      </fill>
    </dxf>
    <dxf>
      <fill>
        <patternFill>
          <bgColor rgb="FFFFFF00"/>
        </patternFill>
      </fill>
    </dxf>
    <dxf>
      <font>
        <color theme="0"/>
      </font>
      <fill>
        <patternFill>
          <bgColor theme="5"/>
        </patternFill>
      </fill>
    </dxf>
    <dxf>
      <fill>
        <patternFill>
          <bgColor theme="0" tint="-0.14996795556505021"/>
        </patternFill>
      </fill>
    </dxf>
    <dxf>
      <font>
        <color theme="0"/>
      </font>
      <fill>
        <patternFill>
          <bgColor rgb="FF00B0F0"/>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font>
        <color theme="0"/>
      </font>
      <fill>
        <patternFill>
          <bgColor rgb="FF0070C0"/>
        </patternFill>
      </fill>
    </dxf>
    <dxf>
      <font>
        <color theme="0"/>
      </font>
      <fill>
        <patternFill>
          <bgColor rgb="FF00B0F0"/>
        </patternFill>
      </fill>
    </dxf>
    <dxf>
      <font>
        <color theme="0"/>
      </font>
      <fill>
        <patternFill>
          <bgColor rgb="FFFF0000"/>
        </patternFill>
      </fill>
    </dxf>
    <dxf>
      <font>
        <color theme="0"/>
      </font>
      <fill>
        <patternFill>
          <bgColor theme="5"/>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rgb="FFFFFF00"/>
        </patternFill>
      </fill>
    </dxf>
    <dxf>
      <font>
        <color theme="0"/>
      </font>
      <fill>
        <patternFill>
          <bgColor theme="5"/>
        </patternFill>
      </fill>
    </dxf>
    <dxf>
      <fill>
        <patternFill>
          <bgColor theme="0" tint="-0.14996795556505021"/>
        </patternFill>
      </fill>
    </dxf>
    <dxf>
      <font>
        <color theme="0"/>
      </font>
      <fill>
        <patternFill>
          <bgColor rgb="FFFF0000"/>
        </patternFill>
      </fill>
    </dxf>
    <dxf>
      <font>
        <color theme="0"/>
      </font>
      <fill>
        <patternFill>
          <bgColor rgb="FF0070C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FF00"/>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font>
        <color theme="0"/>
      </font>
      <fill>
        <patternFill>
          <bgColor theme="5"/>
        </patternFill>
      </fill>
    </dxf>
    <dxf>
      <font>
        <color theme="0"/>
      </font>
      <fill>
        <patternFill>
          <bgColor rgb="FFFF0000"/>
        </patternFill>
      </fill>
    </dxf>
    <dxf>
      <font>
        <color theme="0"/>
      </font>
      <fill>
        <patternFill>
          <bgColor rgb="FF00B0F0"/>
        </patternFill>
      </fill>
    </dxf>
    <dxf>
      <font>
        <color theme="0"/>
      </font>
      <fill>
        <patternFill>
          <bgColor rgb="FF0070C0"/>
        </patternFill>
      </fill>
    </dxf>
    <dxf>
      <font>
        <color theme="0"/>
      </font>
      <fill>
        <patternFill>
          <bgColor rgb="FFFF0000"/>
        </patternFill>
      </fill>
    </dxf>
    <dxf>
      <font>
        <color theme="0"/>
      </font>
      <fill>
        <patternFill>
          <bgColor rgb="FFFF0000"/>
        </patternFill>
      </fill>
    </dxf>
    <dxf>
      <font>
        <color theme="0"/>
      </font>
      <fill>
        <patternFill>
          <bgColor theme="9" tint="-0.24994659260841701"/>
        </patternFill>
      </fill>
    </dxf>
    <dxf>
      <font>
        <color theme="0"/>
      </font>
      <fill>
        <patternFill>
          <bgColor rgb="FFC00000"/>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7" tint="-0.24994659260841701"/>
        </patternFill>
      </fill>
    </dxf>
    <dxf>
      <font>
        <color theme="0"/>
      </font>
      <fill>
        <patternFill>
          <bgColor theme="5"/>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Lines="9" dropStyle="combo" dx="16" fmlaLink="$N$23" fmlaRange="$AC$1:$AC$9" noThreeD="1" sel="1" val="0"/>
</file>

<file path=xl/ctrlProps/ctrlProp10.xml><?xml version="1.0" encoding="utf-8"?>
<formControlPr xmlns="http://schemas.microsoft.com/office/spreadsheetml/2009/9/main" objectType="Drop" dropStyle="combo" dx="31" fmlaLink="$H$5" fmlaRange="$U$4:$U$6" noThreeD="1" sel="1" val="0"/>
</file>

<file path=xl/ctrlProps/ctrlProp11.xml><?xml version="1.0" encoding="utf-8"?>
<formControlPr xmlns="http://schemas.microsoft.com/office/spreadsheetml/2009/9/main" objectType="CheckBox" fmlaLink="$P$6" lockText="1" noThreeD="1"/>
</file>

<file path=xl/ctrlProps/ctrlProp12.xml><?xml version="1.0" encoding="utf-8"?>
<formControlPr xmlns="http://schemas.microsoft.com/office/spreadsheetml/2009/9/main" objectType="CheckBox" fmlaLink="$P$7" lockText="1" noThreeD="1"/>
</file>

<file path=xl/ctrlProps/ctrlProp13.xml><?xml version="1.0" encoding="utf-8"?>
<formControlPr xmlns="http://schemas.microsoft.com/office/spreadsheetml/2009/9/main" objectType="CheckBox" fmlaLink="$P$8" lockText="1" noThreeD="1"/>
</file>

<file path=xl/ctrlProps/ctrlProp14.xml><?xml version="1.0" encoding="utf-8"?>
<formControlPr xmlns="http://schemas.microsoft.com/office/spreadsheetml/2009/9/main" objectType="CheckBox" fmlaLink="$P$13" lockText="1" noThreeD="1"/>
</file>

<file path=xl/ctrlProps/ctrlProp15.xml><?xml version="1.0" encoding="utf-8"?>
<formControlPr xmlns="http://schemas.microsoft.com/office/spreadsheetml/2009/9/main" objectType="CheckBox" fmlaLink="$Q$13" lockText="1" noThreeD="1"/>
</file>

<file path=xl/ctrlProps/ctrlProp16.xml><?xml version="1.0" encoding="utf-8"?>
<formControlPr xmlns="http://schemas.microsoft.com/office/spreadsheetml/2009/9/main" objectType="CheckBox" fmlaLink="$R$13" lockText="1" noThreeD="1"/>
</file>

<file path=xl/ctrlProps/ctrlProp17.xml><?xml version="1.0" encoding="utf-8"?>
<formControlPr xmlns="http://schemas.microsoft.com/office/spreadsheetml/2009/9/main" objectType="CheckBox" fmlaLink="$P$15" lockText="1" noThreeD="1"/>
</file>

<file path=xl/ctrlProps/ctrlProp18.xml><?xml version="1.0" encoding="utf-8"?>
<formControlPr xmlns="http://schemas.microsoft.com/office/spreadsheetml/2009/9/main" objectType="CheckBox" fmlaLink="$Q$15" lockText="1" noThreeD="1"/>
</file>

<file path=xl/ctrlProps/ctrlProp19.xml><?xml version="1.0" encoding="utf-8"?>
<formControlPr xmlns="http://schemas.microsoft.com/office/spreadsheetml/2009/9/main" objectType="CheckBox" fmlaLink="$R$15" lockText="1" noThreeD="1"/>
</file>

<file path=xl/ctrlProps/ctrlProp2.xml><?xml version="1.0" encoding="utf-8"?>
<formControlPr xmlns="http://schemas.microsoft.com/office/spreadsheetml/2009/9/main" objectType="Drop" dropStyle="combo" dx="16" fmlaLink="$B$8" fmlaRange="$AB$1:$AB$5" noThreeD="1" sel="1" val="0"/>
</file>

<file path=xl/ctrlProps/ctrlProp20.xml><?xml version="1.0" encoding="utf-8"?>
<formControlPr xmlns="http://schemas.microsoft.com/office/spreadsheetml/2009/9/main" objectType="CheckBox" fmlaLink="$P$17" lockText="1" noThreeD="1"/>
</file>

<file path=xl/ctrlProps/ctrlProp21.xml><?xml version="1.0" encoding="utf-8"?>
<formControlPr xmlns="http://schemas.microsoft.com/office/spreadsheetml/2009/9/main" objectType="CheckBox" fmlaLink="$Q$17" lockText="1" noThreeD="1"/>
</file>

<file path=xl/ctrlProps/ctrlProp22.xml><?xml version="1.0" encoding="utf-8"?>
<formControlPr xmlns="http://schemas.microsoft.com/office/spreadsheetml/2009/9/main" objectType="CheckBox" fmlaLink="$R$17" lockText="1" noThreeD="1"/>
</file>

<file path=xl/ctrlProps/ctrlProp23.xml><?xml version="1.0" encoding="utf-8"?>
<formControlPr xmlns="http://schemas.microsoft.com/office/spreadsheetml/2009/9/main" objectType="CheckBox" fmlaLink="$P$19" lockText="1" noThreeD="1"/>
</file>

<file path=xl/ctrlProps/ctrlProp24.xml><?xml version="1.0" encoding="utf-8"?>
<formControlPr xmlns="http://schemas.microsoft.com/office/spreadsheetml/2009/9/main" objectType="CheckBox" fmlaLink="$Q$19" lockText="1" noThreeD="1"/>
</file>

<file path=xl/ctrlProps/ctrlProp25.xml><?xml version="1.0" encoding="utf-8"?>
<formControlPr xmlns="http://schemas.microsoft.com/office/spreadsheetml/2009/9/main" objectType="CheckBox" fmlaLink="$R$19" lockText="1" noThreeD="1"/>
</file>

<file path=xl/ctrlProps/ctrlProp26.xml><?xml version="1.0" encoding="utf-8"?>
<formControlPr xmlns="http://schemas.microsoft.com/office/spreadsheetml/2009/9/main" objectType="CheckBox" fmlaLink="$P$21" lockText="1" noThreeD="1"/>
</file>

<file path=xl/ctrlProps/ctrlProp27.xml><?xml version="1.0" encoding="utf-8"?>
<formControlPr xmlns="http://schemas.microsoft.com/office/spreadsheetml/2009/9/main" objectType="CheckBox" fmlaLink="$Q$21" lockText="1" noThreeD="1"/>
</file>

<file path=xl/ctrlProps/ctrlProp28.xml><?xml version="1.0" encoding="utf-8"?>
<formControlPr xmlns="http://schemas.microsoft.com/office/spreadsheetml/2009/9/main" objectType="CheckBox" fmlaLink="$R$21" lockText="1" noThreeD="1"/>
</file>

<file path=xl/ctrlProps/ctrlProp29.xml><?xml version="1.0" encoding="utf-8"?>
<formControlPr xmlns="http://schemas.microsoft.com/office/spreadsheetml/2009/9/main" objectType="Drop" dropStyle="combo" dx="31" fmlaLink="$J$5" fmlaRange="$K$4:$K$7" noThreeD="1" sel="1" val="0"/>
</file>

<file path=xl/ctrlProps/ctrlProp3.xml><?xml version="1.0" encoding="utf-8"?>
<formControlPr xmlns="http://schemas.microsoft.com/office/spreadsheetml/2009/9/main" objectType="Drop" dropStyle="combo" dx="16" fmlaLink="$B$26" fmlaRange="$AB$7:$AB$9" noThreeD="1" sel="1" val="0"/>
</file>

<file path=xl/ctrlProps/ctrlProp30.xml><?xml version="1.0" encoding="utf-8"?>
<formControlPr xmlns="http://schemas.microsoft.com/office/spreadsheetml/2009/9/main" objectType="CheckBox" fmlaLink="$K$37" lockText="1" noThreeD="1"/>
</file>

<file path=xl/ctrlProps/ctrlProp31.xml><?xml version="1.0" encoding="utf-8"?>
<formControlPr xmlns="http://schemas.microsoft.com/office/spreadsheetml/2009/9/main" objectType="CheckBox" fmlaLink="$K$39" lockText="1" noThreeD="1"/>
</file>

<file path=xl/ctrlProps/ctrlProp32.xml><?xml version="1.0" encoding="utf-8"?>
<formControlPr xmlns="http://schemas.microsoft.com/office/spreadsheetml/2009/9/main" objectType="CheckBox" fmlaLink="$K$41" lockText="1" noThreeD="1"/>
</file>

<file path=xl/ctrlProps/ctrlProp33.xml><?xml version="1.0" encoding="utf-8"?>
<formControlPr xmlns="http://schemas.microsoft.com/office/spreadsheetml/2009/9/main" objectType="CheckBox" fmlaLink="$L$37" lockText="1" noThreeD="1"/>
</file>

<file path=xl/ctrlProps/ctrlProp34.xml><?xml version="1.0" encoding="utf-8"?>
<formControlPr xmlns="http://schemas.microsoft.com/office/spreadsheetml/2009/9/main" objectType="CheckBox" fmlaLink="$L$39" lockText="1" noThreeD="1"/>
</file>

<file path=xl/ctrlProps/ctrlProp35.xml><?xml version="1.0" encoding="utf-8"?>
<formControlPr xmlns="http://schemas.microsoft.com/office/spreadsheetml/2009/9/main" objectType="CheckBox" fmlaLink="$L$41" lockText="1" noThreeD="1"/>
</file>

<file path=xl/ctrlProps/ctrlProp36.xml><?xml version="1.0" encoding="utf-8"?>
<formControlPr xmlns="http://schemas.microsoft.com/office/spreadsheetml/2009/9/main" objectType="CheckBox" fmlaLink="$M$37" lockText="1" noThreeD="1"/>
</file>

<file path=xl/ctrlProps/ctrlProp37.xml><?xml version="1.0" encoding="utf-8"?>
<formControlPr xmlns="http://schemas.microsoft.com/office/spreadsheetml/2009/9/main" objectType="CheckBox" fmlaLink="$M$39" lockText="1" noThreeD="1"/>
</file>

<file path=xl/ctrlProps/ctrlProp38.xml><?xml version="1.0" encoding="utf-8"?>
<formControlPr xmlns="http://schemas.microsoft.com/office/spreadsheetml/2009/9/main" objectType="CheckBox" fmlaLink="$M$41" lockText="1" noThreeD="1"/>
</file>

<file path=xl/ctrlProps/ctrlProp39.xml><?xml version="1.0" encoding="utf-8"?>
<formControlPr xmlns="http://schemas.microsoft.com/office/spreadsheetml/2009/9/main" objectType="CheckBox" fmlaLink="$N$37" lockText="1" noThreeD="1"/>
</file>

<file path=xl/ctrlProps/ctrlProp4.xml><?xml version="1.0" encoding="utf-8"?>
<formControlPr xmlns="http://schemas.microsoft.com/office/spreadsheetml/2009/9/main" objectType="Drop" dropStyle="combo" dx="16" fmlaLink="$E$38" fmlaRange="$AB$10:$AB$12" noThreeD="1" sel="1" val="0"/>
</file>

<file path=xl/ctrlProps/ctrlProp40.xml><?xml version="1.0" encoding="utf-8"?>
<formControlPr xmlns="http://schemas.microsoft.com/office/spreadsheetml/2009/9/main" objectType="CheckBox" fmlaLink="$N$39" lockText="1" noThreeD="1"/>
</file>

<file path=xl/ctrlProps/ctrlProp41.xml><?xml version="1.0" encoding="utf-8"?>
<formControlPr xmlns="http://schemas.microsoft.com/office/spreadsheetml/2009/9/main" objectType="CheckBox" fmlaLink="$N$41" lockText="1" noThreeD="1"/>
</file>

<file path=xl/ctrlProps/ctrlProp42.xml><?xml version="1.0" encoding="utf-8"?>
<formControlPr xmlns="http://schemas.microsoft.com/office/spreadsheetml/2009/9/main" objectType="Drop" dropStyle="combo" dx="31" fmlaLink="$M$5" fmlaRange="$AE$1:$AE$3" noThreeD="1" sel="1" val="0"/>
</file>

<file path=xl/ctrlProps/ctrlProp43.xml><?xml version="1.0" encoding="utf-8"?>
<formControlPr xmlns="http://schemas.microsoft.com/office/spreadsheetml/2009/9/main" objectType="Drop" dropStyle="combo" dx="31" fmlaLink="$Q$5" fmlaRange="$AG$1:$AG$4" noThreeD="1" sel="1" val="0"/>
</file>

<file path=xl/ctrlProps/ctrlProp44.xml><?xml version="1.0" encoding="utf-8"?>
<formControlPr xmlns="http://schemas.microsoft.com/office/spreadsheetml/2009/9/main" objectType="Drop" dropStyle="combo" dx="31" fmlaLink="$M$7" fmlaRange="$AJ$1:$AJ$6" noThreeD="1" sel="1" val="0"/>
</file>

<file path=xl/ctrlProps/ctrlProp45.xml><?xml version="1.0" encoding="utf-8"?>
<formControlPr xmlns="http://schemas.microsoft.com/office/spreadsheetml/2009/9/main" objectType="Drop" dropStyle="combo" dx="16" fmlaLink="$I$5" fmlaRange="$AB$1:$AB$3" noThreeD="1" sel="1" val="0"/>
</file>

<file path=xl/ctrlProps/ctrlProp46.xml><?xml version="1.0" encoding="utf-8"?>
<formControlPr xmlns="http://schemas.microsoft.com/office/spreadsheetml/2009/9/main" objectType="Drop" dropStyle="combo" dx="16" fmlaLink="$M$13" fmlaRange="$AK$7:$AK$11" noThreeD="1" sel="1" val="0"/>
</file>

<file path=xl/ctrlProps/ctrlProp47.xml><?xml version="1.0" encoding="utf-8"?>
<formControlPr xmlns="http://schemas.microsoft.com/office/spreadsheetml/2009/9/main" objectType="Drop" dropStyle="combo" dx="16" fmlaLink="$M$15" fmlaRange="$AK$13:$AK$14" noThreeD="1" sel="2" val="0"/>
</file>

<file path=xl/ctrlProps/ctrlProp48.xml><?xml version="1.0" encoding="utf-8"?>
<formControlPr xmlns="http://schemas.microsoft.com/office/spreadsheetml/2009/9/main" objectType="Drop" dropStyle="combo" dx="16" fmlaLink="$M$17" fmlaRange="$AK$13:$AK$14" noThreeD="1" sel="2" val="0"/>
</file>

<file path=xl/ctrlProps/ctrlProp49.xml><?xml version="1.0" encoding="utf-8"?>
<formControlPr xmlns="http://schemas.microsoft.com/office/spreadsheetml/2009/9/main" objectType="Drop" dropStyle="combo" dx="16" fmlaLink="$M$19" fmlaRange="$AK$13:$AK$14" noThreeD="1" sel="2" val="0"/>
</file>

<file path=xl/ctrlProps/ctrlProp5.xml><?xml version="1.0" encoding="utf-8"?>
<formControlPr xmlns="http://schemas.microsoft.com/office/spreadsheetml/2009/9/main" objectType="Drop" dropStyle="combo" dx="16" fmlaLink="$E$46" fmlaRange="$AB$13:$AB$15" noThreeD="1" sel="1" val="0"/>
</file>

<file path=xl/ctrlProps/ctrlProp50.xml><?xml version="1.0" encoding="utf-8"?>
<formControlPr xmlns="http://schemas.microsoft.com/office/spreadsheetml/2009/9/main" objectType="Drop" dropStyle="combo" dx="16" fmlaLink="$AA$5" fmlaRange="$AB$1:$AB$3" noThreeD="1" sel="1" val="0"/>
</file>

<file path=xl/ctrlProps/ctrlProp51.xml><?xml version="1.0" encoding="utf-8"?>
<formControlPr xmlns="http://schemas.microsoft.com/office/spreadsheetml/2009/9/main" objectType="Drop" dropStyle="combo" dx="16" fmlaLink="$I$5" fmlaRange="$AB$1:$AB$3" noThreeD="1" sel="1" val="0"/>
</file>

<file path=xl/ctrlProps/ctrlProp52.xml><?xml version="1.0" encoding="utf-8"?>
<formControlPr xmlns="http://schemas.microsoft.com/office/spreadsheetml/2009/9/main" objectType="CheckBox" fmlaLink="$AB$17" lockText="1" noThreeD="1"/>
</file>

<file path=xl/ctrlProps/ctrlProp53.xml><?xml version="1.0" encoding="utf-8"?>
<formControlPr xmlns="http://schemas.microsoft.com/office/spreadsheetml/2009/9/main" objectType="CheckBox" fmlaLink="$AB$18" lockText="1" noThreeD="1"/>
</file>

<file path=xl/ctrlProps/ctrlProp54.xml><?xml version="1.0" encoding="utf-8"?>
<formControlPr xmlns="http://schemas.microsoft.com/office/spreadsheetml/2009/9/main" objectType="CheckBox" fmlaLink="$AB$20" lockText="1" noThreeD="1"/>
</file>

<file path=xl/ctrlProps/ctrlProp55.xml><?xml version="1.0" encoding="utf-8"?>
<formControlPr xmlns="http://schemas.microsoft.com/office/spreadsheetml/2009/9/main" objectType="CheckBox" fmlaLink="$AB$21" lockText="1" noThreeD="1"/>
</file>

<file path=xl/ctrlProps/ctrlProp56.xml><?xml version="1.0" encoding="utf-8"?>
<formControlPr xmlns="http://schemas.microsoft.com/office/spreadsheetml/2009/9/main" objectType="CheckBox" fmlaLink="$AB$23" lockText="1" noThreeD="1"/>
</file>

<file path=xl/ctrlProps/ctrlProp57.xml><?xml version="1.0" encoding="utf-8"?>
<formControlPr xmlns="http://schemas.microsoft.com/office/spreadsheetml/2009/9/main" objectType="CheckBox" fmlaLink="$AB$25" lockText="1" noThreeD="1"/>
</file>

<file path=xl/ctrlProps/ctrlProp58.xml><?xml version="1.0" encoding="utf-8"?>
<formControlPr xmlns="http://schemas.microsoft.com/office/spreadsheetml/2009/9/main" objectType="CheckBox" fmlaLink="$AB$28" lockText="1" noThreeD="1"/>
</file>

<file path=xl/ctrlProps/ctrlProp59.xml><?xml version="1.0" encoding="utf-8"?>
<formControlPr xmlns="http://schemas.microsoft.com/office/spreadsheetml/2009/9/main" objectType="CheckBox" fmlaLink="$AB$29" lockText="1" noThreeD="1"/>
</file>

<file path=xl/ctrlProps/ctrlProp6.xml><?xml version="1.0" encoding="utf-8"?>
<formControlPr xmlns="http://schemas.microsoft.com/office/spreadsheetml/2009/9/main" objectType="Drop" dropStyle="combo" dx="16" fmlaLink="$E$54" fmlaRange="$AB$16:$AB$18" noThreeD="1" sel="1" val="0"/>
</file>

<file path=xl/ctrlProps/ctrlProp60.xml><?xml version="1.0" encoding="utf-8"?>
<formControlPr xmlns="http://schemas.microsoft.com/office/spreadsheetml/2009/9/main" objectType="CheckBox" fmlaLink="$AB$31" lockText="1" noThreeD="1"/>
</file>

<file path=xl/ctrlProps/ctrlProp61.xml><?xml version="1.0" encoding="utf-8"?>
<formControlPr xmlns="http://schemas.microsoft.com/office/spreadsheetml/2009/9/main" objectType="CheckBox" fmlaLink="$AB$32" lockText="1" noThreeD="1"/>
</file>

<file path=xl/ctrlProps/ctrlProp62.xml><?xml version="1.0" encoding="utf-8"?>
<formControlPr xmlns="http://schemas.microsoft.com/office/spreadsheetml/2009/9/main" objectType="Radio" checked="Checked" firstButton="1" fmlaLink="$T$8"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Drop" dropStyle="combo" dx="31" fmlaLink="$R$11" fmlaRange="$W$1:$W$3" noThreeD="1" sel="1" val="0"/>
</file>

<file path=xl/ctrlProps/ctrlProp65.xml><?xml version="1.0" encoding="utf-8"?>
<formControlPr xmlns="http://schemas.microsoft.com/office/spreadsheetml/2009/9/main" objectType="Drop" dropStyle="combo" dx="31" fmlaLink="$R$13" fmlaRange="$W$1:$W$3" noThreeD="1" sel="1" val="0"/>
</file>

<file path=xl/ctrlProps/ctrlProp66.xml><?xml version="1.0" encoding="utf-8"?>
<formControlPr xmlns="http://schemas.microsoft.com/office/spreadsheetml/2009/9/main" objectType="Drop" dropStyle="combo" dx="31" fmlaLink="$R$15" fmlaRange="$W$1:$W$3" noThreeD="1" sel="1" val="0"/>
</file>

<file path=xl/ctrlProps/ctrlProp67.xml><?xml version="1.0" encoding="utf-8"?>
<formControlPr xmlns="http://schemas.microsoft.com/office/spreadsheetml/2009/9/main" objectType="Drop" dropStyle="combo" dx="31" fmlaLink="$R$18" fmlaRange="$W$1:$W$3" noThreeD="1" sel="1" val="0"/>
</file>

<file path=xl/ctrlProps/ctrlProp68.xml><?xml version="1.0" encoding="utf-8"?>
<formControlPr xmlns="http://schemas.microsoft.com/office/spreadsheetml/2009/9/main" objectType="Drop" dropStyle="combo" dx="31" fmlaLink="$R$20" fmlaRange="$W$1:$W$3" noThreeD="1" sel="1" val="0"/>
</file>

<file path=xl/ctrlProps/ctrlProp69.xml><?xml version="1.0" encoding="utf-8"?>
<formControlPr xmlns="http://schemas.microsoft.com/office/spreadsheetml/2009/9/main" objectType="Drop" dropStyle="combo" dx="16" fmlaLink="$I$5" fmlaRange="$AB$1:$AB$3" noThreeD="1" sel="1" val="0"/>
</file>

<file path=xl/ctrlProps/ctrlProp7.xml><?xml version="1.0" encoding="utf-8"?>
<formControlPr xmlns="http://schemas.microsoft.com/office/spreadsheetml/2009/9/main" objectType="Drop" dropStyle="combo" dx="16" fmlaLink="$E$62" fmlaRange="$AB$19:$AB$21" noThreeD="1" sel="1" val="0"/>
</file>

<file path=xl/ctrlProps/ctrlProp70.xml><?xml version="1.0" encoding="utf-8"?>
<formControlPr xmlns="http://schemas.microsoft.com/office/spreadsheetml/2009/9/main" objectType="Drop" dropStyle="combo" dx="16" fmlaLink="$I$7" fmlaRange="$AB$1:$AB$3" noThreeD="1" sel="1" val="0"/>
</file>

<file path=xl/ctrlProps/ctrlProp71.xml><?xml version="1.0" encoding="utf-8"?>
<formControlPr xmlns="http://schemas.microsoft.com/office/spreadsheetml/2009/9/main" objectType="Drop" dropStyle="combo" dx="16" fmlaLink="$I$10" fmlaRange="$AB$1:$AB$3" noThreeD="1" sel="1" val="0"/>
</file>

<file path=xl/ctrlProps/ctrlProp72.xml><?xml version="1.0" encoding="utf-8"?>
<formControlPr xmlns="http://schemas.microsoft.com/office/spreadsheetml/2009/9/main" objectType="Drop" dropStyle="combo" dx="16" fmlaLink="$I$13" fmlaRange="$AB$1:$AB$3" noThreeD="1" sel="1" val="0"/>
</file>

<file path=xl/ctrlProps/ctrlProp73.xml><?xml version="1.0" encoding="utf-8"?>
<formControlPr xmlns="http://schemas.microsoft.com/office/spreadsheetml/2009/9/main" objectType="Drop" dropStyle="combo" dx="16" fmlaLink="$R$5" fmlaRange="$AB$4:$AB$6" noThreeD="1" sel="1" val="0"/>
</file>

<file path=xl/ctrlProps/ctrlProp74.xml><?xml version="1.0" encoding="utf-8"?>
<formControlPr xmlns="http://schemas.microsoft.com/office/spreadsheetml/2009/9/main" objectType="Drop" dropStyle="combo" dx="16" fmlaLink="$R$7" fmlaRange="$AB$7:$AB$12" noThreeD="1" sel="1" val="0"/>
</file>

<file path=xl/ctrlProps/ctrlProp75.xml><?xml version="1.0" encoding="utf-8"?>
<formControlPr xmlns="http://schemas.microsoft.com/office/spreadsheetml/2009/9/main" objectType="Drop" dropStyle="combo" dx="16" fmlaLink="$F$5" fmlaRange="$AB$1:$AB$4" noThreeD="1" sel="1" val="0"/>
</file>

<file path=xl/ctrlProps/ctrlProp76.xml><?xml version="1.0" encoding="utf-8"?>
<formControlPr xmlns="http://schemas.microsoft.com/office/spreadsheetml/2009/9/main" objectType="Drop" dropStyle="combo" dx="31" fmlaLink="$R$7" fmlaRange="$AB$5:$AB$7" noThreeD="1" sel="1" val="0"/>
</file>

<file path=xl/ctrlProps/ctrlProp77.xml><?xml version="1.0" encoding="utf-8"?>
<formControlPr xmlns="http://schemas.microsoft.com/office/spreadsheetml/2009/9/main" objectType="Drop" dropStyle="combo" dx="31" fmlaLink="$R$10" fmlaRange="$AB$5:$AB$7" noThreeD="1" sel="1" val="0"/>
</file>

<file path=xl/ctrlProps/ctrlProp78.xml><?xml version="1.0" encoding="utf-8"?>
<formControlPr xmlns="http://schemas.microsoft.com/office/spreadsheetml/2009/9/main" objectType="Drop" dropStyle="combo" dx="31" fmlaLink="$R$13" fmlaRange="$AB$5:$AB$7" noThreeD="1" sel="1" val="0"/>
</file>

<file path=xl/ctrlProps/ctrlProp79.xml><?xml version="1.0" encoding="utf-8"?>
<formControlPr xmlns="http://schemas.microsoft.com/office/spreadsheetml/2009/9/main" objectType="Drop" dropStyle="combo" dx="31" fmlaLink="$R$15" fmlaRange="$AB$5:$AB$7" noThreeD="1" sel="1" val="0"/>
</file>

<file path=xl/ctrlProps/ctrlProp8.xml><?xml version="1.0" encoding="utf-8"?>
<formControlPr xmlns="http://schemas.microsoft.com/office/spreadsheetml/2009/9/main" objectType="Drop" dropStyle="combo" dx="16" fmlaLink="$C$7" fmlaRange="$AT$1:$AT$5" noThreeD="1" sel="1" val="0"/>
</file>

<file path=xl/ctrlProps/ctrlProp80.xml><?xml version="1.0" encoding="utf-8"?>
<formControlPr xmlns="http://schemas.microsoft.com/office/spreadsheetml/2009/9/main" objectType="Drop" dropStyle="combo" dx="31" fmlaLink="$R$17" fmlaRange="$AB$5:$AB$7" noThreeD="1" sel="1" val="0"/>
</file>

<file path=xl/ctrlProps/ctrlProp81.xml><?xml version="1.0" encoding="utf-8"?>
<formControlPr xmlns="http://schemas.microsoft.com/office/spreadsheetml/2009/9/main" objectType="Drop" dropStyle="combo" dx="31" fmlaLink="$R$19" fmlaRange="$AB$5:$AB$7" noThreeD="1" sel="1" val="0"/>
</file>

<file path=xl/ctrlProps/ctrlProp82.xml><?xml version="1.0" encoding="utf-8"?>
<formControlPr xmlns="http://schemas.microsoft.com/office/spreadsheetml/2009/9/main" objectType="Drop" dropStyle="combo" dx="31" fmlaLink="$R$22" fmlaRange="$AB$5:$AB$7" noThreeD="1" sel="1" val="0"/>
</file>

<file path=xl/ctrlProps/ctrlProp83.xml><?xml version="1.0" encoding="utf-8"?>
<formControlPr xmlns="http://schemas.microsoft.com/office/spreadsheetml/2009/9/main" objectType="Drop" dropStyle="combo" dx="31" fmlaLink="$R$25" fmlaRange="$AB$5:$AB$7" noThreeD="1" sel="1" val="0"/>
</file>

<file path=xl/ctrlProps/ctrlProp84.xml><?xml version="1.0" encoding="utf-8"?>
<formControlPr xmlns="http://schemas.microsoft.com/office/spreadsheetml/2009/9/main" objectType="Drop" dropStyle="combo" dx="16" fmlaLink="$B$5" fmlaRange="$S$1:$S$7" noThreeD="1" sel="1" val="0"/>
</file>

<file path=xl/ctrlProps/ctrlProp9.xml><?xml version="1.0" encoding="utf-8"?>
<formControlPr xmlns="http://schemas.microsoft.com/office/spreadsheetml/2009/9/main" objectType="Drop" dropLines="22" dropStyle="combo" dx="16" fmlaLink="$I$13" fmlaRange="$BC$6:$BC$27"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9</xdr:col>
      <xdr:colOff>605518</xdr:colOff>
      <xdr:row>11</xdr:row>
      <xdr:rowOff>97519</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25836" t="21021" r="9937" b="38233"/>
        <a:stretch/>
      </xdr:blipFill>
      <xdr:spPr>
        <a:xfrm>
          <a:off x="0" y="19050"/>
          <a:ext cx="6091918" cy="2173969"/>
        </a:xfrm>
        <a:prstGeom prst="rect">
          <a:avLst/>
        </a:prstGeom>
      </xdr:spPr>
    </xdr:pic>
    <xdr:clientData/>
  </xdr:twoCellAnchor>
  <xdr:twoCellAnchor editAs="oneCell">
    <xdr:from>
      <xdr:col>0</xdr:col>
      <xdr:colOff>40821</xdr:colOff>
      <xdr:row>22</xdr:row>
      <xdr:rowOff>13606</xdr:rowOff>
    </xdr:from>
    <xdr:to>
      <xdr:col>0</xdr:col>
      <xdr:colOff>266851</xdr:colOff>
      <xdr:row>22</xdr:row>
      <xdr:rowOff>184149</xdr:rowOff>
    </xdr:to>
    <xdr:pic>
      <xdr:nvPicPr>
        <xdr:cNvPr id="3" name="Рисунок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4014106"/>
          <a:ext cx="226030" cy="1768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336550</xdr:colOff>
          <xdr:row>22</xdr:row>
          <xdr:rowOff>19050</xdr:rowOff>
        </xdr:from>
        <xdr:to>
          <xdr:col>14</xdr:col>
          <xdr:colOff>12700</xdr:colOff>
          <xdr:row>23</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40821</xdr:colOff>
      <xdr:row>28</xdr:row>
      <xdr:rowOff>20410</xdr:rowOff>
    </xdr:from>
    <xdr:to>
      <xdr:col>0</xdr:col>
      <xdr:colOff>266851</xdr:colOff>
      <xdr:row>29</xdr:row>
      <xdr:rowOff>6803</xdr:rowOff>
    </xdr:to>
    <xdr:pic>
      <xdr:nvPicPr>
        <xdr:cNvPr id="5" name="Рисунок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5354410"/>
          <a:ext cx="226030" cy="176893"/>
        </a:xfrm>
        <a:prstGeom prst="rect">
          <a:avLst/>
        </a:prstGeom>
      </xdr:spPr>
    </xdr:pic>
    <xdr:clientData/>
  </xdr:twoCellAnchor>
  <xdr:twoCellAnchor editAs="oneCell">
    <xdr:from>
      <xdr:col>0</xdr:col>
      <xdr:colOff>40821</xdr:colOff>
      <xdr:row>33</xdr:row>
      <xdr:rowOff>20411</xdr:rowOff>
    </xdr:from>
    <xdr:to>
      <xdr:col>0</xdr:col>
      <xdr:colOff>266851</xdr:colOff>
      <xdr:row>34</xdr:row>
      <xdr:rowOff>6804</xdr:rowOff>
    </xdr:to>
    <xdr:pic>
      <xdr:nvPicPr>
        <xdr:cNvPr id="7" name="Рисунок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6306911"/>
          <a:ext cx="226030" cy="176893"/>
        </a:xfrm>
        <a:prstGeom prst="rect">
          <a:avLst/>
        </a:prstGeom>
      </xdr:spPr>
    </xdr:pic>
    <xdr:clientData/>
  </xdr:twoCellAnchor>
  <xdr:oneCellAnchor>
    <xdr:from>
      <xdr:col>0</xdr:col>
      <xdr:colOff>40821</xdr:colOff>
      <xdr:row>35</xdr:row>
      <xdr:rowOff>20411</xdr:rowOff>
    </xdr:from>
    <xdr:ext cx="226030" cy="176893"/>
    <xdr:pic>
      <xdr:nvPicPr>
        <xdr:cNvPr id="9" name="Рисунок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6306911"/>
          <a:ext cx="226030" cy="176893"/>
        </a:xfrm>
        <a:prstGeom prst="rect">
          <a:avLst/>
        </a:prstGeom>
      </xdr:spPr>
    </xdr:pic>
    <xdr:clientData/>
  </xdr:oneCellAnchor>
  <xdr:oneCellAnchor>
    <xdr:from>
      <xdr:col>0</xdr:col>
      <xdr:colOff>40821</xdr:colOff>
      <xdr:row>37</xdr:row>
      <xdr:rowOff>20411</xdr:rowOff>
    </xdr:from>
    <xdr:ext cx="226030" cy="176893"/>
    <xdr:pic>
      <xdr:nvPicPr>
        <xdr:cNvPr id="8" name="Рисунок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6687911"/>
          <a:ext cx="226030" cy="176893"/>
        </a:xfrm>
        <a:prstGeom prst="rect">
          <a:avLst/>
        </a:prstGeom>
      </xdr:spPr>
    </xdr:pic>
    <xdr:clientData/>
  </xdr:oneCellAnchor>
  <xdr:oneCellAnchor>
    <xdr:from>
      <xdr:col>0</xdr:col>
      <xdr:colOff>40821</xdr:colOff>
      <xdr:row>39</xdr:row>
      <xdr:rowOff>20411</xdr:rowOff>
    </xdr:from>
    <xdr:ext cx="226030" cy="176893"/>
    <xdr:pic>
      <xdr:nvPicPr>
        <xdr:cNvPr id="10" name="Рисунок 7">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6878411"/>
          <a:ext cx="226030" cy="176893"/>
        </a:xfrm>
        <a:prstGeom prst="rect">
          <a:avLst/>
        </a:prstGeom>
      </xdr:spPr>
    </xdr:pic>
    <xdr:clientData/>
  </xdr:oneCellAnchor>
  <xdr:oneCellAnchor>
    <xdr:from>
      <xdr:col>0</xdr:col>
      <xdr:colOff>40821</xdr:colOff>
      <xdr:row>41</xdr:row>
      <xdr:rowOff>20411</xdr:rowOff>
    </xdr:from>
    <xdr:ext cx="226030" cy="176893"/>
    <xdr:pic>
      <xdr:nvPicPr>
        <xdr:cNvPr id="11" name="Рисунок 7">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7246711"/>
          <a:ext cx="226030" cy="176893"/>
        </a:xfrm>
        <a:prstGeom prst="rect">
          <a:avLst/>
        </a:prstGeom>
      </xdr:spPr>
    </xdr:pic>
    <xdr:clientData/>
  </xdr:oneCellAnchor>
  <xdr:oneCellAnchor>
    <xdr:from>
      <xdr:col>0</xdr:col>
      <xdr:colOff>40821</xdr:colOff>
      <xdr:row>43</xdr:row>
      <xdr:rowOff>20411</xdr:rowOff>
    </xdr:from>
    <xdr:ext cx="226030" cy="176893"/>
    <xdr:pic>
      <xdr:nvPicPr>
        <xdr:cNvPr id="12" name="Рисунок 7">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7615011"/>
          <a:ext cx="226030" cy="176893"/>
        </a:xfrm>
        <a:prstGeom prst="rect">
          <a:avLst/>
        </a:prstGeom>
      </xdr:spPr>
    </xdr:pic>
    <xdr:clientData/>
  </xdr:oneCellAnchor>
  <xdr:oneCellAnchor>
    <xdr:from>
      <xdr:col>0</xdr:col>
      <xdr:colOff>40821</xdr:colOff>
      <xdr:row>45</xdr:row>
      <xdr:rowOff>20411</xdr:rowOff>
    </xdr:from>
    <xdr:ext cx="226030" cy="176893"/>
    <xdr:pic>
      <xdr:nvPicPr>
        <xdr:cNvPr id="13" name="Рисунок 7">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7983311"/>
          <a:ext cx="226030" cy="176893"/>
        </a:xfrm>
        <a:prstGeom prst="rect">
          <a:avLst/>
        </a:prstGeom>
      </xdr:spPr>
    </xdr:pic>
    <xdr:clientData/>
  </xdr:oneCellAnchor>
  <xdr:oneCellAnchor>
    <xdr:from>
      <xdr:col>0</xdr:col>
      <xdr:colOff>40821</xdr:colOff>
      <xdr:row>47</xdr:row>
      <xdr:rowOff>20411</xdr:rowOff>
    </xdr:from>
    <xdr:ext cx="226030" cy="176893"/>
    <xdr:pic>
      <xdr:nvPicPr>
        <xdr:cNvPr id="14" name="Рисунок 7">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8592911"/>
          <a:ext cx="226030" cy="176893"/>
        </a:xfrm>
        <a:prstGeom prst="rect">
          <a:avLst/>
        </a:prstGeom>
      </xdr:spPr>
    </xdr:pic>
    <xdr:clientData/>
  </xdr:oneCellAnchor>
  <xdr:oneCellAnchor>
    <xdr:from>
      <xdr:col>0</xdr:col>
      <xdr:colOff>40821</xdr:colOff>
      <xdr:row>49</xdr:row>
      <xdr:rowOff>20411</xdr:rowOff>
    </xdr:from>
    <xdr:ext cx="226030" cy="176893"/>
    <xdr:pic>
      <xdr:nvPicPr>
        <xdr:cNvPr id="15" name="Рисунок 7">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8973911"/>
          <a:ext cx="226030" cy="176893"/>
        </a:xfrm>
        <a:prstGeom prst="rect">
          <a:avLst/>
        </a:prstGeom>
      </xdr:spPr>
    </xdr:pic>
    <xdr:clientData/>
  </xdr:oneCellAnchor>
  <xdr:oneCellAnchor>
    <xdr:from>
      <xdr:col>0</xdr:col>
      <xdr:colOff>40821</xdr:colOff>
      <xdr:row>51</xdr:row>
      <xdr:rowOff>20411</xdr:rowOff>
    </xdr:from>
    <xdr:ext cx="226030" cy="176893"/>
    <xdr:pic>
      <xdr:nvPicPr>
        <xdr:cNvPr id="16" name="Рисунок 7">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9354911"/>
          <a:ext cx="226030" cy="176893"/>
        </a:xfrm>
        <a:prstGeom prst="rect">
          <a:avLst/>
        </a:prstGeom>
      </xdr:spPr>
    </xdr:pic>
    <xdr:clientData/>
  </xdr:oneCellAnchor>
  <xdr:oneCellAnchor>
    <xdr:from>
      <xdr:col>0</xdr:col>
      <xdr:colOff>40821</xdr:colOff>
      <xdr:row>53</xdr:row>
      <xdr:rowOff>20411</xdr:rowOff>
    </xdr:from>
    <xdr:ext cx="226030" cy="176893"/>
    <xdr:pic>
      <xdr:nvPicPr>
        <xdr:cNvPr id="17" name="Рисунок 7">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9735911"/>
          <a:ext cx="226030" cy="176893"/>
        </a:xfrm>
        <a:prstGeom prst="rect">
          <a:avLst/>
        </a:prstGeom>
      </xdr:spPr>
    </xdr:pic>
    <xdr:clientData/>
  </xdr:oneCellAnchor>
  <xdr:oneCellAnchor>
    <xdr:from>
      <xdr:col>0</xdr:col>
      <xdr:colOff>40821</xdr:colOff>
      <xdr:row>55</xdr:row>
      <xdr:rowOff>20411</xdr:rowOff>
    </xdr:from>
    <xdr:ext cx="226030" cy="176893"/>
    <xdr:pic>
      <xdr:nvPicPr>
        <xdr:cNvPr id="18" name="Рисунок 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10116911"/>
          <a:ext cx="226030" cy="176893"/>
        </a:xfrm>
        <a:prstGeom prst="rect">
          <a:avLst/>
        </a:prstGeom>
      </xdr:spPr>
    </xdr:pic>
    <xdr:clientData/>
  </xdr:oneCellAnchor>
  <xdr:oneCellAnchor>
    <xdr:from>
      <xdr:col>0</xdr:col>
      <xdr:colOff>40821</xdr:colOff>
      <xdr:row>57</xdr:row>
      <xdr:rowOff>20411</xdr:rowOff>
    </xdr:from>
    <xdr:ext cx="226030" cy="176893"/>
    <xdr:pic>
      <xdr:nvPicPr>
        <xdr:cNvPr id="19" name="Рисунок 7">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1"/>
        <a:srcRect l="25836" t="22162" r="70487" b="72702"/>
        <a:stretch/>
      </xdr:blipFill>
      <xdr:spPr>
        <a:xfrm>
          <a:off x="40821" y="10497911"/>
          <a:ext cx="226030" cy="17689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298450</xdr:colOff>
          <xdr:row>4</xdr:row>
          <xdr:rowOff>184150</xdr:rowOff>
        </xdr:from>
        <xdr:to>
          <xdr:col>1</xdr:col>
          <xdr:colOff>431800</xdr:colOff>
          <xdr:row>6</xdr:row>
          <xdr:rowOff>31750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5</xdr:row>
          <xdr:rowOff>184150</xdr:rowOff>
        </xdr:from>
        <xdr:to>
          <xdr:col>1</xdr:col>
          <xdr:colOff>431800</xdr:colOff>
          <xdr:row>7</xdr:row>
          <xdr:rowOff>31750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6</xdr:row>
          <xdr:rowOff>184150</xdr:rowOff>
        </xdr:from>
        <xdr:to>
          <xdr:col>1</xdr:col>
          <xdr:colOff>431800</xdr:colOff>
          <xdr:row>8</xdr:row>
          <xdr:rowOff>31750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165100</xdr:rowOff>
        </xdr:from>
        <xdr:to>
          <xdr:col>2</xdr:col>
          <xdr:colOff>603250</xdr:colOff>
          <xdr:row>13</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11</xdr:row>
          <xdr:rowOff>165100</xdr:rowOff>
        </xdr:from>
        <xdr:to>
          <xdr:col>6</xdr:col>
          <xdr:colOff>603250</xdr:colOff>
          <xdr:row>13</xdr:row>
          <xdr:rowOff>19050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412750</xdr:colOff>
          <xdr:row>11</xdr:row>
          <xdr:rowOff>165100</xdr:rowOff>
        </xdr:from>
        <xdr:to>
          <xdr:col>10</xdr:col>
          <xdr:colOff>603250</xdr:colOff>
          <xdr:row>13</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13</xdr:row>
          <xdr:rowOff>165100</xdr:rowOff>
        </xdr:from>
        <xdr:to>
          <xdr:col>2</xdr:col>
          <xdr:colOff>603250</xdr:colOff>
          <xdr:row>15</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13</xdr:row>
          <xdr:rowOff>165100</xdr:rowOff>
        </xdr:from>
        <xdr:to>
          <xdr:col>6</xdr:col>
          <xdr:colOff>603250</xdr:colOff>
          <xdr:row>15</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412750</xdr:colOff>
          <xdr:row>13</xdr:row>
          <xdr:rowOff>165100</xdr:rowOff>
        </xdr:from>
        <xdr:to>
          <xdr:col>10</xdr:col>
          <xdr:colOff>603250</xdr:colOff>
          <xdr:row>15</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165100</xdr:rowOff>
        </xdr:from>
        <xdr:to>
          <xdr:col>3</xdr:col>
          <xdr:colOff>0</xdr:colOff>
          <xdr:row>17</xdr:row>
          <xdr:rowOff>12700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15</xdr:row>
          <xdr:rowOff>165100</xdr:rowOff>
        </xdr:from>
        <xdr:to>
          <xdr:col>7</xdr:col>
          <xdr:colOff>0</xdr:colOff>
          <xdr:row>17</xdr:row>
          <xdr:rowOff>12700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165100</xdr:rowOff>
        </xdr:from>
        <xdr:to>
          <xdr:col>11</xdr:col>
          <xdr:colOff>0</xdr:colOff>
          <xdr:row>17</xdr:row>
          <xdr:rowOff>12700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165100</xdr:rowOff>
        </xdr:from>
        <xdr:to>
          <xdr:col>3</xdr:col>
          <xdr:colOff>0</xdr:colOff>
          <xdr:row>19</xdr:row>
          <xdr:rowOff>12700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9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17</xdr:row>
          <xdr:rowOff>165100</xdr:rowOff>
        </xdr:from>
        <xdr:to>
          <xdr:col>7</xdr:col>
          <xdr:colOff>0</xdr:colOff>
          <xdr:row>19</xdr:row>
          <xdr:rowOff>12700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17</xdr:row>
          <xdr:rowOff>165100</xdr:rowOff>
        </xdr:from>
        <xdr:to>
          <xdr:col>11</xdr:col>
          <xdr:colOff>0</xdr:colOff>
          <xdr:row>19</xdr:row>
          <xdr:rowOff>12700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165100</xdr:rowOff>
        </xdr:from>
        <xdr:to>
          <xdr:col>3</xdr:col>
          <xdr:colOff>0</xdr:colOff>
          <xdr:row>21</xdr:row>
          <xdr:rowOff>19050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9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19</xdr:row>
          <xdr:rowOff>165100</xdr:rowOff>
        </xdr:from>
        <xdr:to>
          <xdr:col>7</xdr:col>
          <xdr:colOff>0</xdr:colOff>
          <xdr:row>21</xdr:row>
          <xdr:rowOff>19050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9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mc:Ignorable="a14" a14:legacySpreadsheetColorIndex="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19</xdr:row>
          <xdr:rowOff>165100</xdr:rowOff>
        </xdr:from>
        <xdr:to>
          <xdr:col>11</xdr:col>
          <xdr:colOff>0</xdr:colOff>
          <xdr:row>21</xdr:row>
          <xdr:rowOff>19050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mc:Ignorable="a14" a14:legacySpreadsheetColorIndex="9"/>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69850</xdr:colOff>
          <xdr:row>3</xdr:row>
          <xdr:rowOff>171450</xdr:rowOff>
        </xdr:from>
        <xdr:to>
          <xdr:col>9</xdr:col>
          <xdr:colOff>603250</xdr:colOff>
          <xdr:row>5</xdr:row>
          <xdr:rowOff>31750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35</xdr:row>
          <xdr:rowOff>171450</xdr:rowOff>
        </xdr:from>
        <xdr:to>
          <xdr:col>2</xdr:col>
          <xdr:colOff>469900</xdr:colOff>
          <xdr:row>37</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37</xdr:row>
          <xdr:rowOff>171450</xdr:rowOff>
        </xdr:from>
        <xdr:to>
          <xdr:col>2</xdr:col>
          <xdr:colOff>469900</xdr:colOff>
          <xdr:row>39</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39</xdr:row>
          <xdr:rowOff>171450</xdr:rowOff>
        </xdr:from>
        <xdr:to>
          <xdr:col>2</xdr:col>
          <xdr:colOff>469900</xdr:colOff>
          <xdr:row>41</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35</xdr:row>
          <xdr:rowOff>184150</xdr:rowOff>
        </xdr:from>
        <xdr:to>
          <xdr:col>7</xdr:col>
          <xdr:colOff>361950</xdr:colOff>
          <xdr:row>37</xdr:row>
          <xdr:rowOff>19050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37</xdr:row>
          <xdr:rowOff>171450</xdr:rowOff>
        </xdr:from>
        <xdr:to>
          <xdr:col>7</xdr:col>
          <xdr:colOff>260350</xdr:colOff>
          <xdr:row>39</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39</xdr:row>
          <xdr:rowOff>165100</xdr:rowOff>
        </xdr:from>
        <xdr:to>
          <xdr:col>7</xdr:col>
          <xdr:colOff>298450</xdr:colOff>
          <xdr:row>41</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35</xdr:row>
          <xdr:rowOff>171450</xdr:rowOff>
        </xdr:from>
        <xdr:to>
          <xdr:col>9</xdr:col>
          <xdr:colOff>336550</xdr:colOff>
          <xdr:row>37</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A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37</xdr:row>
          <xdr:rowOff>171450</xdr:rowOff>
        </xdr:from>
        <xdr:to>
          <xdr:col>9</xdr:col>
          <xdr:colOff>336550</xdr:colOff>
          <xdr:row>39</xdr:row>
          <xdr:rowOff>19050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A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39</xdr:row>
          <xdr:rowOff>171450</xdr:rowOff>
        </xdr:from>
        <xdr:to>
          <xdr:col>9</xdr:col>
          <xdr:colOff>336550</xdr:colOff>
          <xdr:row>41</xdr:row>
          <xdr:rowOff>19050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A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35</xdr:row>
          <xdr:rowOff>171450</xdr:rowOff>
        </xdr:from>
        <xdr:to>
          <xdr:col>4</xdr:col>
          <xdr:colOff>431800</xdr:colOff>
          <xdr:row>37</xdr:row>
          <xdr:rowOff>19050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A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37</xdr:row>
          <xdr:rowOff>171450</xdr:rowOff>
        </xdr:from>
        <xdr:to>
          <xdr:col>4</xdr:col>
          <xdr:colOff>431800</xdr:colOff>
          <xdr:row>39</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A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39</xdr:row>
          <xdr:rowOff>171450</xdr:rowOff>
        </xdr:from>
        <xdr:to>
          <xdr:col>4</xdr:col>
          <xdr:colOff>431800</xdr:colOff>
          <xdr:row>41</xdr:row>
          <xdr:rowOff>19050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A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571500</xdr:colOff>
          <xdr:row>3</xdr:row>
          <xdr:rowOff>165100</xdr:rowOff>
        </xdr:from>
        <xdr:to>
          <xdr:col>13</xdr:col>
          <xdr:colOff>527050</xdr:colOff>
          <xdr:row>5</xdr:row>
          <xdr:rowOff>19050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165100</xdr:rowOff>
        </xdr:from>
        <xdr:to>
          <xdr:col>18</xdr:col>
          <xdr:colOff>552450</xdr:colOff>
          <xdr:row>5</xdr:row>
          <xdr:rowOff>19050</xdr:rowOff>
        </xdr:to>
        <xdr:sp macro="" textlink="">
          <xdr:nvSpPr>
            <xdr:cNvPr id="12290" name="Drop Down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5</xdr:row>
          <xdr:rowOff>171450</xdr:rowOff>
        </xdr:from>
        <xdr:to>
          <xdr:col>13</xdr:col>
          <xdr:colOff>527050</xdr:colOff>
          <xdr:row>7</xdr:row>
          <xdr:rowOff>31750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508000</xdr:colOff>
          <xdr:row>3</xdr:row>
          <xdr:rowOff>152400</xdr:rowOff>
        </xdr:from>
        <xdr:to>
          <xdr:col>8</xdr:col>
          <xdr:colOff>603250</xdr:colOff>
          <xdr:row>5</xdr:row>
          <xdr:rowOff>0</xdr:rowOff>
        </xdr:to>
        <xdr:sp macro="" textlink="">
          <xdr:nvSpPr>
            <xdr:cNvPr id="13313" name="Drop Down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603250</xdr:colOff>
          <xdr:row>12</xdr:row>
          <xdr:rowOff>0</xdr:rowOff>
        </xdr:from>
        <xdr:to>
          <xdr:col>16</xdr:col>
          <xdr:colOff>304800</xdr:colOff>
          <xdr:row>13</xdr:row>
          <xdr:rowOff>19050</xdr:rowOff>
        </xdr:to>
        <xdr:sp macro="" textlink="">
          <xdr:nvSpPr>
            <xdr:cNvPr id="13314" name="Drop Down 2"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374650</xdr:colOff>
          <xdr:row>13</xdr:row>
          <xdr:rowOff>184150</xdr:rowOff>
        </xdr:from>
        <xdr:to>
          <xdr:col>13</xdr:col>
          <xdr:colOff>457200</xdr:colOff>
          <xdr:row>15</xdr:row>
          <xdr:rowOff>12700</xdr:rowOff>
        </xdr:to>
        <xdr:sp macro="" textlink="">
          <xdr:nvSpPr>
            <xdr:cNvPr id="13316" name="Drop Down 4" hidden="1">
              <a:extLst>
                <a:ext uri="{63B3BB69-23CF-44E3-9099-C40C66FF867C}">
                  <a14:compatExt spid="_x0000_s13316"/>
                </a:ext>
                <a:ext uri="{FF2B5EF4-FFF2-40B4-BE49-F238E27FC236}">
                  <a16:creationId xmlns:a16="http://schemas.microsoft.com/office/drawing/2014/main" id="{00000000-0008-0000-0C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374650</xdr:colOff>
          <xdr:row>15</xdr:row>
          <xdr:rowOff>165100</xdr:rowOff>
        </xdr:from>
        <xdr:to>
          <xdr:col>13</xdr:col>
          <xdr:colOff>457200</xdr:colOff>
          <xdr:row>17</xdr:row>
          <xdr:rowOff>12700</xdr:rowOff>
        </xdr:to>
        <xdr:sp macro="" textlink="">
          <xdr:nvSpPr>
            <xdr:cNvPr id="13317" name="Drop Down 5" hidden="1">
              <a:extLst>
                <a:ext uri="{63B3BB69-23CF-44E3-9099-C40C66FF867C}">
                  <a14:compatExt spid="_x0000_s13317"/>
                </a:ext>
                <a:ext uri="{FF2B5EF4-FFF2-40B4-BE49-F238E27FC236}">
                  <a16:creationId xmlns:a16="http://schemas.microsoft.com/office/drawing/2014/main" id="{00000000-0008-0000-0C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17</xdr:row>
          <xdr:rowOff>171450</xdr:rowOff>
        </xdr:from>
        <xdr:to>
          <xdr:col>13</xdr:col>
          <xdr:colOff>469900</xdr:colOff>
          <xdr:row>19</xdr:row>
          <xdr:rowOff>19050</xdr:rowOff>
        </xdr:to>
        <xdr:sp macro="" textlink="">
          <xdr:nvSpPr>
            <xdr:cNvPr id="13318" name="Drop Down 6" hidden="1">
              <a:extLst>
                <a:ext uri="{63B3BB69-23CF-44E3-9099-C40C66FF867C}">
                  <a14:compatExt spid="_x0000_s13318"/>
                </a:ext>
                <a:ext uri="{FF2B5EF4-FFF2-40B4-BE49-F238E27FC236}">
                  <a16:creationId xmlns:a16="http://schemas.microsoft.com/office/drawing/2014/main" id="{00000000-0008-0000-0C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508000</xdr:colOff>
          <xdr:row>3</xdr:row>
          <xdr:rowOff>152400</xdr:rowOff>
        </xdr:from>
        <xdr:to>
          <xdr:col>26</xdr:col>
          <xdr:colOff>603250</xdr:colOff>
          <xdr:row>5</xdr:row>
          <xdr:rowOff>0</xdr:rowOff>
        </xdr:to>
        <xdr:sp macro="" textlink="">
          <xdr:nvSpPr>
            <xdr:cNvPr id="13319" name="Drop Down 7" hidden="1">
              <a:extLst>
                <a:ext uri="{63B3BB69-23CF-44E3-9099-C40C66FF867C}">
                  <a14:compatExt spid="_x0000_s13319"/>
                </a:ext>
                <a:ext uri="{FF2B5EF4-FFF2-40B4-BE49-F238E27FC236}">
                  <a16:creationId xmlns:a16="http://schemas.microsoft.com/office/drawing/2014/main" id="{00000000-0008-0000-0C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4</xdr:row>
          <xdr:rowOff>0</xdr:rowOff>
        </xdr:from>
        <xdr:to>
          <xdr:col>8</xdr:col>
          <xdr:colOff>603250</xdr:colOff>
          <xdr:row>5</xdr:row>
          <xdr:rowOff>19050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18</xdr:row>
          <xdr:rowOff>184150</xdr:rowOff>
        </xdr:from>
        <xdr:to>
          <xdr:col>8</xdr:col>
          <xdr:colOff>584200</xdr:colOff>
          <xdr:row>20</xdr:row>
          <xdr:rowOff>12700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D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20</xdr:row>
          <xdr:rowOff>184150</xdr:rowOff>
        </xdr:from>
        <xdr:to>
          <xdr:col>8</xdr:col>
          <xdr:colOff>584200</xdr:colOff>
          <xdr:row>22</xdr:row>
          <xdr:rowOff>12700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D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36</xdr:row>
          <xdr:rowOff>184150</xdr:rowOff>
        </xdr:from>
        <xdr:to>
          <xdr:col>8</xdr:col>
          <xdr:colOff>603250</xdr:colOff>
          <xdr:row>38</xdr:row>
          <xdr:rowOff>12700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D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38</xdr:row>
          <xdr:rowOff>184150</xdr:rowOff>
        </xdr:from>
        <xdr:to>
          <xdr:col>8</xdr:col>
          <xdr:colOff>603250</xdr:colOff>
          <xdr:row>40</xdr:row>
          <xdr:rowOff>12700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D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40</xdr:row>
          <xdr:rowOff>184150</xdr:rowOff>
        </xdr:from>
        <xdr:to>
          <xdr:col>8</xdr:col>
          <xdr:colOff>603250</xdr:colOff>
          <xdr:row>42</xdr:row>
          <xdr:rowOff>12700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D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42</xdr:row>
          <xdr:rowOff>184150</xdr:rowOff>
        </xdr:from>
        <xdr:to>
          <xdr:col>8</xdr:col>
          <xdr:colOff>603250</xdr:colOff>
          <xdr:row>44</xdr:row>
          <xdr:rowOff>12700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D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6</xdr:row>
          <xdr:rowOff>0</xdr:rowOff>
        </xdr:from>
        <xdr:to>
          <xdr:col>8</xdr:col>
          <xdr:colOff>584200</xdr:colOff>
          <xdr:row>7</xdr:row>
          <xdr:rowOff>12700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D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7</xdr:row>
          <xdr:rowOff>184150</xdr:rowOff>
        </xdr:from>
        <xdr:to>
          <xdr:col>8</xdr:col>
          <xdr:colOff>584200</xdr:colOff>
          <xdr:row>9</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D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488950</xdr:colOff>
          <xdr:row>9</xdr:row>
          <xdr:rowOff>171450</xdr:rowOff>
        </xdr:from>
        <xdr:to>
          <xdr:col>8</xdr:col>
          <xdr:colOff>571500</xdr:colOff>
          <xdr:row>11</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D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12</xdr:row>
          <xdr:rowOff>184150</xdr:rowOff>
        </xdr:from>
        <xdr:to>
          <xdr:col>8</xdr:col>
          <xdr:colOff>565150</xdr:colOff>
          <xdr:row>14</xdr:row>
          <xdr:rowOff>12700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D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7</xdr:row>
          <xdr:rowOff>12700</xdr:rowOff>
        </xdr:from>
        <xdr:to>
          <xdr:col>13</xdr:col>
          <xdr:colOff>317500</xdr:colOff>
          <xdr:row>8</xdr:row>
          <xdr:rowOff>19050</xdr:rowOff>
        </xdr:to>
        <xdr:sp macro="" textlink="">
          <xdr:nvSpPr>
            <xdr:cNvPr id="14348" name="Option Button 12" hidden="1">
              <a:extLst>
                <a:ext uri="{63B3BB69-23CF-44E3-9099-C40C66FF867C}">
                  <a14:compatExt spid="_x0000_s14348"/>
                </a:ext>
                <a:ext uri="{FF2B5EF4-FFF2-40B4-BE49-F238E27FC236}">
                  <a16:creationId xmlns:a16="http://schemas.microsoft.com/office/drawing/2014/main" id="{00000000-0008-0000-0D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393700</xdr:colOff>
          <xdr:row>7</xdr:row>
          <xdr:rowOff>0</xdr:rowOff>
        </xdr:from>
        <xdr:to>
          <xdr:col>15</xdr:col>
          <xdr:colOff>38100</xdr:colOff>
          <xdr:row>8</xdr:row>
          <xdr:rowOff>19050</xdr:rowOff>
        </xdr:to>
        <xdr:sp macro="" textlink="">
          <xdr:nvSpPr>
            <xdr:cNvPr id="14349" name="Option Button 13" hidden="1">
              <a:extLst>
                <a:ext uri="{63B3BB69-23CF-44E3-9099-C40C66FF867C}">
                  <a14:compatExt spid="_x0000_s14349"/>
                </a:ext>
                <a:ext uri="{FF2B5EF4-FFF2-40B4-BE49-F238E27FC236}">
                  <a16:creationId xmlns:a16="http://schemas.microsoft.com/office/drawing/2014/main" id="{00000000-0008-0000-0D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603250</xdr:colOff>
          <xdr:row>10</xdr:row>
          <xdr:rowOff>0</xdr:rowOff>
        </xdr:from>
        <xdr:to>
          <xdr:col>17</xdr:col>
          <xdr:colOff>584200</xdr:colOff>
          <xdr:row>11</xdr:row>
          <xdr:rowOff>31750</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D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603250</xdr:colOff>
          <xdr:row>12</xdr:row>
          <xdr:rowOff>0</xdr:rowOff>
        </xdr:from>
        <xdr:to>
          <xdr:col>17</xdr:col>
          <xdr:colOff>584200</xdr:colOff>
          <xdr:row>13</xdr:row>
          <xdr:rowOff>31750</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D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603250</xdr:colOff>
          <xdr:row>14</xdr:row>
          <xdr:rowOff>0</xdr:rowOff>
        </xdr:from>
        <xdr:to>
          <xdr:col>17</xdr:col>
          <xdr:colOff>584200</xdr:colOff>
          <xdr:row>15</xdr:row>
          <xdr:rowOff>31750</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D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603250</xdr:colOff>
          <xdr:row>16</xdr:row>
          <xdr:rowOff>184150</xdr:rowOff>
        </xdr:from>
        <xdr:to>
          <xdr:col>17</xdr:col>
          <xdr:colOff>584200</xdr:colOff>
          <xdr:row>18</xdr:row>
          <xdr:rowOff>19050</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D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603250</xdr:colOff>
          <xdr:row>19</xdr:row>
          <xdr:rowOff>0</xdr:rowOff>
        </xdr:from>
        <xdr:to>
          <xdr:col>17</xdr:col>
          <xdr:colOff>584200</xdr:colOff>
          <xdr:row>20</xdr:row>
          <xdr:rowOff>31750</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D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412750</xdr:colOff>
          <xdr:row>3</xdr:row>
          <xdr:rowOff>184150</xdr:rowOff>
        </xdr:from>
        <xdr:to>
          <xdr:col>8</xdr:col>
          <xdr:colOff>590550</xdr:colOff>
          <xdr:row>5</xdr:row>
          <xdr:rowOff>12700</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E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412750</xdr:colOff>
          <xdr:row>6</xdr:row>
          <xdr:rowOff>0</xdr:rowOff>
        </xdr:from>
        <xdr:to>
          <xdr:col>8</xdr:col>
          <xdr:colOff>590550</xdr:colOff>
          <xdr:row>7</xdr:row>
          <xdr:rowOff>19050</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E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412750</xdr:colOff>
          <xdr:row>8</xdr:row>
          <xdr:rowOff>184150</xdr:rowOff>
        </xdr:from>
        <xdr:to>
          <xdr:col>8</xdr:col>
          <xdr:colOff>590550</xdr:colOff>
          <xdr:row>10</xdr:row>
          <xdr:rowOff>12700</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E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412750</xdr:colOff>
          <xdr:row>11</xdr:row>
          <xdr:rowOff>184150</xdr:rowOff>
        </xdr:from>
        <xdr:to>
          <xdr:col>8</xdr:col>
          <xdr:colOff>590550</xdr:colOff>
          <xdr:row>13</xdr:row>
          <xdr:rowOff>0</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E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4</xdr:row>
          <xdr:rowOff>0</xdr:rowOff>
        </xdr:from>
        <xdr:to>
          <xdr:col>17</xdr:col>
          <xdr:colOff>603250</xdr:colOff>
          <xdr:row>5</xdr:row>
          <xdr:rowOff>12700</xdr:rowOff>
        </xdr:to>
        <xdr:sp macro="" textlink="">
          <xdr:nvSpPr>
            <xdr:cNvPr id="15380" name="Drop Down 20" hidden="1">
              <a:extLst>
                <a:ext uri="{63B3BB69-23CF-44E3-9099-C40C66FF867C}">
                  <a14:compatExt spid="_x0000_s15380"/>
                </a:ext>
                <a:ext uri="{FF2B5EF4-FFF2-40B4-BE49-F238E27FC236}">
                  <a16:creationId xmlns:a16="http://schemas.microsoft.com/office/drawing/2014/main" id="{00000000-0008-0000-0E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xdr:row>
          <xdr:rowOff>171450</xdr:rowOff>
        </xdr:from>
        <xdr:to>
          <xdr:col>17</xdr:col>
          <xdr:colOff>603250</xdr:colOff>
          <xdr:row>6</xdr:row>
          <xdr:rowOff>184150</xdr:rowOff>
        </xdr:to>
        <xdr:sp macro="" textlink="">
          <xdr:nvSpPr>
            <xdr:cNvPr id="15381" name="Drop Down 21" hidden="1">
              <a:extLst>
                <a:ext uri="{63B3BB69-23CF-44E3-9099-C40C66FF867C}">
                  <a14:compatExt spid="_x0000_s15381"/>
                </a:ext>
                <a:ext uri="{FF2B5EF4-FFF2-40B4-BE49-F238E27FC236}">
                  <a16:creationId xmlns:a16="http://schemas.microsoft.com/office/drawing/2014/main" id="{00000000-0008-0000-0E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457200</xdr:colOff>
          <xdr:row>4</xdr:row>
          <xdr:rowOff>0</xdr:rowOff>
        </xdr:from>
        <xdr:to>
          <xdr:col>5</xdr:col>
          <xdr:colOff>584200</xdr:colOff>
          <xdr:row>4</xdr:row>
          <xdr:rowOff>184150</xdr:rowOff>
        </xdr:to>
        <xdr:sp macro="" textlink="">
          <xdr:nvSpPr>
            <xdr:cNvPr id="17409" name="Drop Down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590550</xdr:colOff>
          <xdr:row>6</xdr:row>
          <xdr:rowOff>12700</xdr:rowOff>
        </xdr:from>
        <xdr:to>
          <xdr:col>18</xdr:col>
          <xdr:colOff>0</xdr:colOff>
          <xdr:row>7</xdr:row>
          <xdr:rowOff>31750</xdr:rowOff>
        </xdr:to>
        <xdr:sp macro="" textlink="">
          <xdr:nvSpPr>
            <xdr:cNvPr id="17410" name="Drop Down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584200</xdr:colOff>
          <xdr:row>9</xdr:row>
          <xdr:rowOff>0</xdr:rowOff>
        </xdr:from>
        <xdr:to>
          <xdr:col>17</xdr:col>
          <xdr:colOff>603250</xdr:colOff>
          <xdr:row>10</xdr:row>
          <xdr:rowOff>19050</xdr:rowOff>
        </xdr:to>
        <xdr:sp macro="" textlink="">
          <xdr:nvSpPr>
            <xdr:cNvPr id="17411" name="Drop Down 3" hidden="1">
              <a:extLst>
                <a:ext uri="{63B3BB69-23CF-44E3-9099-C40C66FF867C}">
                  <a14:compatExt spid="_x0000_s17411"/>
                </a:ext>
                <a:ext uri="{FF2B5EF4-FFF2-40B4-BE49-F238E27FC236}">
                  <a16:creationId xmlns:a16="http://schemas.microsoft.com/office/drawing/2014/main" id="{00000000-0008-0000-10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584200</xdr:colOff>
          <xdr:row>12</xdr:row>
          <xdr:rowOff>12700</xdr:rowOff>
        </xdr:from>
        <xdr:to>
          <xdr:col>17</xdr:col>
          <xdr:colOff>603250</xdr:colOff>
          <xdr:row>13</xdr:row>
          <xdr:rowOff>38100</xdr:rowOff>
        </xdr:to>
        <xdr:sp macro="" textlink="">
          <xdr:nvSpPr>
            <xdr:cNvPr id="17412" name="Drop Down 4" hidden="1">
              <a:extLst>
                <a:ext uri="{63B3BB69-23CF-44E3-9099-C40C66FF867C}">
                  <a14:compatExt spid="_x0000_s17412"/>
                </a:ext>
                <a:ext uri="{FF2B5EF4-FFF2-40B4-BE49-F238E27FC236}">
                  <a16:creationId xmlns:a16="http://schemas.microsoft.com/office/drawing/2014/main" id="{00000000-0008-0000-10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584200</xdr:colOff>
          <xdr:row>14</xdr:row>
          <xdr:rowOff>12700</xdr:rowOff>
        </xdr:from>
        <xdr:to>
          <xdr:col>17</xdr:col>
          <xdr:colOff>603250</xdr:colOff>
          <xdr:row>15</xdr:row>
          <xdr:rowOff>38100</xdr:rowOff>
        </xdr:to>
        <xdr:sp macro="" textlink="">
          <xdr:nvSpPr>
            <xdr:cNvPr id="17413" name="Drop Down 5" hidden="1">
              <a:extLst>
                <a:ext uri="{63B3BB69-23CF-44E3-9099-C40C66FF867C}">
                  <a14:compatExt spid="_x0000_s17413"/>
                </a:ext>
                <a:ext uri="{FF2B5EF4-FFF2-40B4-BE49-F238E27FC236}">
                  <a16:creationId xmlns:a16="http://schemas.microsoft.com/office/drawing/2014/main" id="{00000000-0008-0000-10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584200</xdr:colOff>
          <xdr:row>16</xdr:row>
          <xdr:rowOff>12700</xdr:rowOff>
        </xdr:from>
        <xdr:to>
          <xdr:col>17</xdr:col>
          <xdr:colOff>603250</xdr:colOff>
          <xdr:row>17</xdr:row>
          <xdr:rowOff>31750</xdr:rowOff>
        </xdr:to>
        <xdr:sp macro="" textlink="">
          <xdr:nvSpPr>
            <xdr:cNvPr id="17414" name="Drop Down 6" hidden="1">
              <a:extLst>
                <a:ext uri="{63B3BB69-23CF-44E3-9099-C40C66FF867C}">
                  <a14:compatExt spid="_x0000_s17414"/>
                </a:ext>
                <a:ext uri="{FF2B5EF4-FFF2-40B4-BE49-F238E27FC236}">
                  <a16:creationId xmlns:a16="http://schemas.microsoft.com/office/drawing/2014/main" id="{00000000-0008-0000-10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584200</xdr:colOff>
          <xdr:row>18</xdr:row>
          <xdr:rowOff>12700</xdr:rowOff>
        </xdr:from>
        <xdr:to>
          <xdr:col>17</xdr:col>
          <xdr:colOff>603250</xdr:colOff>
          <xdr:row>19</xdr:row>
          <xdr:rowOff>38100</xdr:rowOff>
        </xdr:to>
        <xdr:sp macro="" textlink="">
          <xdr:nvSpPr>
            <xdr:cNvPr id="17415" name="Drop Down 7" hidden="1">
              <a:extLst>
                <a:ext uri="{63B3BB69-23CF-44E3-9099-C40C66FF867C}">
                  <a14:compatExt spid="_x0000_s17415"/>
                </a:ext>
                <a:ext uri="{FF2B5EF4-FFF2-40B4-BE49-F238E27FC236}">
                  <a16:creationId xmlns:a16="http://schemas.microsoft.com/office/drawing/2014/main" id="{00000000-0008-0000-10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584200</xdr:colOff>
          <xdr:row>21</xdr:row>
          <xdr:rowOff>19050</xdr:rowOff>
        </xdr:from>
        <xdr:to>
          <xdr:col>17</xdr:col>
          <xdr:colOff>603250</xdr:colOff>
          <xdr:row>22</xdr:row>
          <xdr:rowOff>50800</xdr:rowOff>
        </xdr:to>
        <xdr:sp macro="" textlink="">
          <xdr:nvSpPr>
            <xdr:cNvPr id="17416" name="Drop Down 8" hidden="1">
              <a:extLst>
                <a:ext uri="{63B3BB69-23CF-44E3-9099-C40C66FF867C}">
                  <a14:compatExt spid="_x0000_s17416"/>
                </a:ext>
                <a:ext uri="{FF2B5EF4-FFF2-40B4-BE49-F238E27FC236}">
                  <a16:creationId xmlns:a16="http://schemas.microsoft.com/office/drawing/2014/main" id="{00000000-0008-0000-10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584200</xdr:colOff>
          <xdr:row>24</xdr:row>
          <xdr:rowOff>12700</xdr:rowOff>
        </xdr:from>
        <xdr:to>
          <xdr:col>17</xdr:col>
          <xdr:colOff>603250</xdr:colOff>
          <xdr:row>25</xdr:row>
          <xdr:rowOff>31750</xdr:rowOff>
        </xdr:to>
        <xdr:sp macro="" textlink="">
          <xdr:nvSpPr>
            <xdr:cNvPr id="17417" name="Drop Down 9" hidden="1">
              <a:extLst>
                <a:ext uri="{63B3BB69-23CF-44E3-9099-C40C66FF867C}">
                  <a14:compatExt spid="_x0000_s17417"/>
                </a:ext>
                <a:ext uri="{FF2B5EF4-FFF2-40B4-BE49-F238E27FC236}">
                  <a16:creationId xmlns:a16="http://schemas.microsoft.com/office/drawing/2014/main" id="{00000000-0008-0000-10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603250</xdr:colOff>
          <xdr:row>3</xdr:row>
          <xdr:rowOff>184150</xdr:rowOff>
        </xdr:from>
        <xdr:to>
          <xdr:col>2</xdr:col>
          <xdr:colOff>146050</xdr:colOff>
          <xdr:row>5</xdr:row>
          <xdr:rowOff>0</xdr:rowOff>
        </xdr:to>
        <xdr:sp macro="" textlink="">
          <xdr:nvSpPr>
            <xdr:cNvPr id="18433" name="Drop Down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226030</xdr:colOff>
      <xdr:row>3</xdr:row>
      <xdr:rowOff>176893</xdr:rowOff>
    </xdr:to>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571500"/>
          <a:ext cx="226030" cy="176893"/>
        </a:xfrm>
        <a:prstGeom prst="rect">
          <a:avLst/>
        </a:prstGeom>
      </xdr:spPr>
    </xdr:pic>
    <xdr:clientData/>
  </xdr:twoCellAnchor>
  <xdr:oneCellAnchor>
    <xdr:from>
      <xdr:col>0</xdr:col>
      <xdr:colOff>0</xdr:colOff>
      <xdr:row>15</xdr:row>
      <xdr:rowOff>0</xdr:rowOff>
    </xdr:from>
    <xdr:ext cx="226030" cy="176893"/>
    <xdr:pic>
      <xdr:nvPicPr>
        <xdr:cNvPr id="3" name="Рисунок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571500"/>
          <a:ext cx="226030" cy="176893"/>
        </a:xfrm>
        <a:prstGeom prst="rect">
          <a:avLst/>
        </a:prstGeom>
      </xdr:spPr>
    </xdr:pic>
    <xdr:clientData/>
  </xdr:oneCellAnchor>
  <xdr:oneCellAnchor>
    <xdr:from>
      <xdr:col>0</xdr:col>
      <xdr:colOff>0</xdr:colOff>
      <xdr:row>28</xdr:row>
      <xdr:rowOff>0</xdr:rowOff>
    </xdr:from>
    <xdr:ext cx="226030" cy="176893"/>
    <xdr:pic>
      <xdr:nvPicPr>
        <xdr:cNvPr id="4" name="Рисунок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571500"/>
          <a:ext cx="226030" cy="176893"/>
        </a:xfrm>
        <a:prstGeom prst="rect">
          <a:avLst/>
        </a:prstGeom>
      </xdr:spPr>
    </xdr:pic>
    <xdr:clientData/>
  </xdr:oneCellAnchor>
  <xdr:oneCellAnchor>
    <xdr:from>
      <xdr:col>0</xdr:col>
      <xdr:colOff>0</xdr:colOff>
      <xdr:row>34</xdr:row>
      <xdr:rowOff>0</xdr:rowOff>
    </xdr:from>
    <xdr:ext cx="226030" cy="176893"/>
    <xdr:pic>
      <xdr:nvPicPr>
        <xdr:cNvPr id="5" name="Рисунок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5334000"/>
          <a:ext cx="226030" cy="176893"/>
        </a:xfrm>
        <a:prstGeom prst="rect">
          <a:avLst/>
        </a:prstGeom>
      </xdr:spPr>
    </xdr:pic>
    <xdr:clientData/>
  </xdr:oneCellAnchor>
  <xdr:oneCellAnchor>
    <xdr:from>
      <xdr:col>0</xdr:col>
      <xdr:colOff>0</xdr:colOff>
      <xdr:row>40</xdr:row>
      <xdr:rowOff>0</xdr:rowOff>
    </xdr:from>
    <xdr:ext cx="226030" cy="176893"/>
    <xdr:pic>
      <xdr:nvPicPr>
        <xdr:cNvPr id="6" name="Рисунок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7620000"/>
          <a:ext cx="226030" cy="17689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226030</xdr:colOff>
      <xdr:row>3</xdr:row>
      <xdr:rowOff>176893</xdr:rowOff>
    </xdr:to>
    <xdr:pic>
      <xdr:nvPicPr>
        <xdr:cNvPr id="2" name="Рисунок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571500"/>
          <a:ext cx="226030" cy="176893"/>
        </a:xfrm>
        <a:prstGeom prst="rect">
          <a:avLst/>
        </a:prstGeom>
      </xdr:spPr>
    </xdr:pic>
    <xdr:clientData/>
  </xdr:twoCellAnchor>
  <xdr:oneCellAnchor>
    <xdr:from>
      <xdr:col>0</xdr:col>
      <xdr:colOff>0</xdr:colOff>
      <xdr:row>8</xdr:row>
      <xdr:rowOff>0</xdr:rowOff>
    </xdr:from>
    <xdr:ext cx="226030" cy="176893"/>
    <xdr:pic>
      <xdr:nvPicPr>
        <xdr:cNvPr id="3" name="Рисунок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2857500"/>
          <a:ext cx="226030" cy="176893"/>
        </a:xfrm>
        <a:prstGeom prst="rect">
          <a:avLst/>
        </a:prstGeom>
      </xdr:spPr>
    </xdr:pic>
    <xdr:clientData/>
  </xdr:oneCellAnchor>
  <xdr:oneCellAnchor>
    <xdr:from>
      <xdr:col>0</xdr:col>
      <xdr:colOff>0</xdr:colOff>
      <xdr:row>14</xdr:row>
      <xdr:rowOff>0</xdr:rowOff>
    </xdr:from>
    <xdr:ext cx="226030" cy="176893"/>
    <xdr:pic>
      <xdr:nvPicPr>
        <xdr:cNvPr id="4" name="Рисунок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5334000"/>
          <a:ext cx="226030" cy="176893"/>
        </a:xfrm>
        <a:prstGeom prst="rect">
          <a:avLst/>
        </a:prstGeom>
      </xdr:spPr>
    </xdr:pic>
    <xdr:clientData/>
  </xdr:oneCellAnchor>
  <xdr:oneCellAnchor>
    <xdr:from>
      <xdr:col>0</xdr:col>
      <xdr:colOff>0</xdr:colOff>
      <xdr:row>20</xdr:row>
      <xdr:rowOff>0</xdr:rowOff>
    </xdr:from>
    <xdr:ext cx="226030" cy="176893"/>
    <xdr:pic>
      <xdr:nvPicPr>
        <xdr:cNvPr id="5" name="Рисунок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6477000"/>
          <a:ext cx="226030" cy="176893"/>
        </a:xfrm>
        <a:prstGeom prst="rect">
          <a:avLst/>
        </a:prstGeom>
      </xdr:spPr>
    </xdr:pic>
    <xdr:clientData/>
  </xdr:oneCellAnchor>
  <xdr:oneCellAnchor>
    <xdr:from>
      <xdr:col>0</xdr:col>
      <xdr:colOff>0</xdr:colOff>
      <xdr:row>26</xdr:row>
      <xdr:rowOff>0</xdr:rowOff>
    </xdr:from>
    <xdr:ext cx="226030" cy="176893"/>
    <xdr:pic>
      <xdr:nvPicPr>
        <xdr:cNvPr id="6" name="Рисунок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7620000"/>
          <a:ext cx="226030" cy="17689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226030</xdr:colOff>
      <xdr:row>3</xdr:row>
      <xdr:rowOff>176893</xdr:rowOff>
    </xdr:to>
    <xdr:pic>
      <xdr:nvPicPr>
        <xdr:cNvPr id="2" name="Рисунок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571500"/>
          <a:ext cx="226030" cy="176893"/>
        </a:xfrm>
        <a:prstGeom prst="rect">
          <a:avLst/>
        </a:prstGeom>
      </xdr:spPr>
    </xdr:pic>
    <xdr:clientData/>
  </xdr:twoCellAnchor>
  <xdr:oneCellAnchor>
    <xdr:from>
      <xdr:col>0</xdr:col>
      <xdr:colOff>0</xdr:colOff>
      <xdr:row>16</xdr:row>
      <xdr:rowOff>0</xdr:rowOff>
    </xdr:from>
    <xdr:ext cx="226030" cy="176893"/>
    <xdr:pic>
      <xdr:nvPicPr>
        <xdr:cNvPr id="3" name="Рисунок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2857500"/>
          <a:ext cx="226030" cy="176893"/>
        </a:xfrm>
        <a:prstGeom prst="rect">
          <a:avLst/>
        </a:prstGeom>
      </xdr:spPr>
    </xdr:pic>
    <xdr:clientData/>
  </xdr:oneCellAnchor>
  <xdr:oneCellAnchor>
    <xdr:from>
      <xdr:col>0</xdr:col>
      <xdr:colOff>0</xdr:colOff>
      <xdr:row>30</xdr:row>
      <xdr:rowOff>0</xdr:rowOff>
    </xdr:from>
    <xdr:ext cx="226030" cy="176893"/>
    <xdr:pic>
      <xdr:nvPicPr>
        <xdr:cNvPr id="4" name="Рисунок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5334000"/>
          <a:ext cx="226030" cy="176893"/>
        </a:xfrm>
        <a:prstGeom prst="rect">
          <a:avLst/>
        </a:prstGeom>
      </xdr:spPr>
    </xdr:pic>
    <xdr:clientData/>
  </xdr:oneCellAnchor>
  <xdr:oneCellAnchor>
    <xdr:from>
      <xdr:col>0</xdr:col>
      <xdr:colOff>0</xdr:colOff>
      <xdr:row>37</xdr:row>
      <xdr:rowOff>0</xdr:rowOff>
    </xdr:from>
    <xdr:ext cx="226030" cy="176893"/>
    <xdr:pic>
      <xdr:nvPicPr>
        <xdr:cNvPr id="5" name="Рисунок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6477000"/>
          <a:ext cx="226030" cy="176893"/>
        </a:xfrm>
        <a:prstGeom prst="rect">
          <a:avLst/>
        </a:prstGeom>
      </xdr:spPr>
    </xdr:pic>
    <xdr:clientData/>
  </xdr:oneCellAnchor>
  <xdr:oneCellAnchor>
    <xdr:from>
      <xdr:col>0</xdr:col>
      <xdr:colOff>0</xdr:colOff>
      <xdr:row>43</xdr:row>
      <xdr:rowOff>0</xdr:rowOff>
    </xdr:from>
    <xdr:ext cx="226030" cy="176893"/>
    <xdr:pic>
      <xdr:nvPicPr>
        <xdr:cNvPr id="6" name="Рисунок 5">
          <a:extLst>
            <a:ext uri="{FF2B5EF4-FFF2-40B4-BE49-F238E27FC236}">
              <a16:creationId xmlns:a16="http://schemas.microsoft.com/office/drawing/2014/main" id="{00000000-0008-0000-0300-000006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7620000"/>
          <a:ext cx="226030" cy="17689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226030</xdr:colOff>
      <xdr:row>3</xdr:row>
      <xdr:rowOff>176893</xdr:rowOff>
    </xdr:to>
    <xdr:pic>
      <xdr:nvPicPr>
        <xdr:cNvPr id="2" name="Рисунок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571500"/>
          <a:ext cx="226030" cy="176893"/>
        </a:xfrm>
        <a:prstGeom prst="rect">
          <a:avLst/>
        </a:prstGeom>
      </xdr:spPr>
    </xdr:pic>
    <xdr:clientData/>
  </xdr:twoCellAnchor>
  <xdr:oneCellAnchor>
    <xdr:from>
      <xdr:col>0</xdr:col>
      <xdr:colOff>0</xdr:colOff>
      <xdr:row>9</xdr:row>
      <xdr:rowOff>0</xdr:rowOff>
    </xdr:from>
    <xdr:ext cx="226030" cy="176893"/>
    <xdr:pic>
      <xdr:nvPicPr>
        <xdr:cNvPr id="3" name="Рисунок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2857500"/>
          <a:ext cx="226030" cy="176893"/>
        </a:xfrm>
        <a:prstGeom prst="rect">
          <a:avLst/>
        </a:prstGeom>
      </xdr:spPr>
    </xdr:pic>
    <xdr:clientData/>
  </xdr:oneCellAnchor>
  <xdr:oneCellAnchor>
    <xdr:from>
      <xdr:col>0</xdr:col>
      <xdr:colOff>0</xdr:colOff>
      <xdr:row>17</xdr:row>
      <xdr:rowOff>0</xdr:rowOff>
    </xdr:from>
    <xdr:ext cx="226030" cy="176893"/>
    <xdr:pic>
      <xdr:nvPicPr>
        <xdr:cNvPr id="4" name="Рисунок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5334000"/>
          <a:ext cx="226030" cy="176893"/>
        </a:xfrm>
        <a:prstGeom prst="rect">
          <a:avLst/>
        </a:prstGeom>
      </xdr:spPr>
    </xdr:pic>
    <xdr:clientData/>
  </xdr:oneCellAnchor>
  <xdr:oneCellAnchor>
    <xdr:from>
      <xdr:col>0</xdr:col>
      <xdr:colOff>0</xdr:colOff>
      <xdr:row>23</xdr:row>
      <xdr:rowOff>0</xdr:rowOff>
    </xdr:from>
    <xdr:ext cx="226030" cy="176893"/>
    <xdr:pic>
      <xdr:nvPicPr>
        <xdr:cNvPr id="5" name="Рисунок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6477000"/>
          <a:ext cx="226030" cy="176893"/>
        </a:xfrm>
        <a:prstGeom prst="rect">
          <a:avLst/>
        </a:prstGeom>
      </xdr:spPr>
    </xdr:pic>
    <xdr:clientData/>
  </xdr:oneCellAnchor>
  <xdr:oneCellAnchor>
    <xdr:from>
      <xdr:col>0</xdr:col>
      <xdr:colOff>0</xdr:colOff>
      <xdr:row>29</xdr:row>
      <xdr:rowOff>0</xdr:rowOff>
    </xdr:from>
    <xdr:ext cx="226030" cy="176893"/>
    <xdr:pic>
      <xdr:nvPicPr>
        <xdr:cNvPr id="6" name="Рисунок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7620000"/>
          <a:ext cx="226030" cy="176893"/>
        </a:xfrm>
        <a:prstGeom prst="rect">
          <a:avLst/>
        </a:prstGeom>
      </xdr:spPr>
    </xdr:pic>
    <xdr:clientData/>
  </xdr:oneCellAnchor>
  <xdr:oneCellAnchor>
    <xdr:from>
      <xdr:col>0</xdr:col>
      <xdr:colOff>0</xdr:colOff>
      <xdr:row>35</xdr:row>
      <xdr:rowOff>0</xdr:rowOff>
    </xdr:from>
    <xdr:ext cx="226030" cy="176893"/>
    <xdr:pic>
      <xdr:nvPicPr>
        <xdr:cNvPr id="7" name="Рисунок 6">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3429000"/>
          <a:ext cx="226030" cy="176893"/>
        </a:xfrm>
        <a:prstGeom prst="rect">
          <a:avLst/>
        </a:prstGeom>
      </xdr:spPr>
    </xdr:pic>
    <xdr:clientData/>
  </xdr:oneCellAnchor>
  <xdr:oneCellAnchor>
    <xdr:from>
      <xdr:col>0</xdr:col>
      <xdr:colOff>0</xdr:colOff>
      <xdr:row>43</xdr:row>
      <xdr:rowOff>0</xdr:rowOff>
    </xdr:from>
    <xdr:ext cx="226030" cy="176893"/>
    <xdr:pic>
      <xdr:nvPicPr>
        <xdr:cNvPr id="8" name="Рисунок 7">
          <a:extLst>
            <a:ext uri="{FF2B5EF4-FFF2-40B4-BE49-F238E27FC236}">
              <a16:creationId xmlns:a16="http://schemas.microsoft.com/office/drawing/2014/main" id="{00000000-0008-0000-0400-000008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7048500"/>
          <a:ext cx="226030" cy="17689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226030</xdr:colOff>
      <xdr:row>4</xdr:row>
      <xdr:rowOff>176893</xdr:rowOff>
    </xdr:to>
    <xdr:pic>
      <xdr:nvPicPr>
        <xdr:cNvPr id="2" name="Рисунок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762000"/>
          <a:ext cx="226030" cy="176893"/>
        </a:xfrm>
        <a:prstGeom prst="rect">
          <a:avLst/>
        </a:prstGeom>
      </xdr:spPr>
    </xdr:pic>
    <xdr:clientData/>
  </xdr:twoCellAnchor>
  <xdr:oneCellAnchor>
    <xdr:from>
      <xdr:col>0</xdr:col>
      <xdr:colOff>0</xdr:colOff>
      <xdr:row>11</xdr:row>
      <xdr:rowOff>0</xdr:rowOff>
    </xdr:from>
    <xdr:ext cx="226030" cy="176893"/>
    <xdr:pic>
      <xdr:nvPicPr>
        <xdr:cNvPr id="3" name="Рисунок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762000"/>
          <a:ext cx="226030" cy="176893"/>
        </a:xfrm>
        <a:prstGeom prst="rect">
          <a:avLst/>
        </a:prstGeom>
      </xdr:spPr>
    </xdr:pic>
    <xdr:clientData/>
  </xdr:oneCellAnchor>
  <xdr:oneCellAnchor>
    <xdr:from>
      <xdr:col>0</xdr:col>
      <xdr:colOff>0</xdr:colOff>
      <xdr:row>17</xdr:row>
      <xdr:rowOff>0</xdr:rowOff>
    </xdr:from>
    <xdr:ext cx="226030" cy="176893"/>
    <xdr:pic>
      <xdr:nvPicPr>
        <xdr:cNvPr id="4" name="Рисунок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2286000"/>
          <a:ext cx="226030" cy="176893"/>
        </a:xfrm>
        <a:prstGeom prst="rect">
          <a:avLst/>
        </a:prstGeom>
      </xdr:spPr>
    </xdr:pic>
    <xdr:clientData/>
  </xdr:oneCellAnchor>
  <xdr:oneCellAnchor>
    <xdr:from>
      <xdr:col>0</xdr:col>
      <xdr:colOff>0</xdr:colOff>
      <xdr:row>19</xdr:row>
      <xdr:rowOff>0</xdr:rowOff>
    </xdr:from>
    <xdr:ext cx="226030" cy="176893"/>
    <xdr:pic>
      <xdr:nvPicPr>
        <xdr:cNvPr id="5" name="Рисунок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3619500"/>
          <a:ext cx="226030" cy="176893"/>
        </a:xfrm>
        <a:prstGeom prst="rect">
          <a:avLst/>
        </a:prstGeom>
      </xdr:spPr>
    </xdr:pic>
    <xdr:clientData/>
  </xdr:oneCellAnchor>
  <xdr:oneCellAnchor>
    <xdr:from>
      <xdr:col>0</xdr:col>
      <xdr:colOff>0</xdr:colOff>
      <xdr:row>21</xdr:row>
      <xdr:rowOff>0</xdr:rowOff>
    </xdr:from>
    <xdr:ext cx="226030" cy="176893"/>
    <xdr:pic>
      <xdr:nvPicPr>
        <xdr:cNvPr id="6" name="Рисунок 5">
          <a:extLst>
            <a:ext uri="{FF2B5EF4-FFF2-40B4-BE49-F238E27FC236}">
              <a16:creationId xmlns:a16="http://schemas.microsoft.com/office/drawing/2014/main" id="{00000000-0008-0000-0500-000006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4381500"/>
          <a:ext cx="226030" cy="176893"/>
        </a:xfrm>
        <a:prstGeom prst="rect">
          <a:avLst/>
        </a:prstGeom>
      </xdr:spPr>
    </xdr:pic>
    <xdr:clientData/>
  </xdr:oneCellAnchor>
  <xdr:oneCellAnchor>
    <xdr:from>
      <xdr:col>0</xdr:col>
      <xdr:colOff>0</xdr:colOff>
      <xdr:row>23</xdr:row>
      <xdr:rowOff>0</xdr:rowOff>
    </xdr:from>
    <xdr:ext cx="226030" cy="176893"/>
    <xdr:pic>
      <xdr:nvPicPr>
        <xdr:cNvPr id="7" name="Рисунок 6">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4953000"/>
          <a:ext cx="226030" cy="176893"/>
        </a:xfrm>
        <a:prstGeom prst="rect">
          <a:avLst/>
        </a:prstGeom>
      </xdr:spPr>
    </xdr:pic>
    <xdr:clientData/>
  </xdr:oneCellAnchor>
  <xdr:oneCellAnchor>
    <xdr:from>
      <xdr:col>0</xdr:col>
      <xdr:colOff>0</xdr:colOff>
      <xdr:row>32</xdr:row>
      <xdr:rowOff>0</xdr:rowOff>
    </xdr:from>
    <xdr:ext cx="226030" cy="176893"/>
    <xdr:pic>
      <xdr:nvPicPr>
        <xdr:cNvPr id="8" name="Рисунок 7">
          <a:extLst>
            <a:ext uri="{FF2B5EF4-FFF2-40B4-BE49-F238E27FC236}">
              <a16:creationId xmlns:a16="http://schemas.microsoft.com/office/drawing/2014/main" id="{00000000-0008-0000-0500-000008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4000500"/>
          <a:ext cx="226030" cy="176893"/>
        </a:xfrm>
        <a:prstGeom prst="rect">
          <a:avLst/>
        </a:prstGeom>
      </xdr:spPr>
    </xdr:pic>
    <xdr:clientData/>
  </xdr:oneCellAnchor>
  <xdr:oneCellAnchor>
    <xdr:from>
      <xdr:col>0</xdr:col>
      <xdr:colOff>0</xdr:colOff>
      <xdr:row>35</xdr:row>
      <xdr:rowOff>0</xdr:rowOff>
    </xdr:from>
    <xdr:ext cx="226030" cy="176893"/>
    <xdr:pic>
      <xdr:nvPicPr>
        <xdr:cNvPr id="9" name="Рисунок 8">
          <a:extLst>
            <a:ext uri="{FF2B5EF4-FFF2-40B4-BE49-F238E27FC236}">
              <a16:creationId xmlns:a16="http://schemas.microsoft.com/office/drawing/2014/main" id="{00000000-0008-0000-0500-000009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6096000"/>
          <a:ext cx="226030" cy="176893"/>
        </a:xfrm>
        <a:prstGeom prst="rect">
          <a:avLst/>
        </a:prstGeom>
      </xdr:spPr>
    </xdr:pic>
    <xdr:clientData/>
  </xdr:oneCellAnchor>
  <xdr:oneCellAnchor>
    <xdr:from>
      <xdr:col>0</xdr:col>
      <xdr:colOff>0</xdr:colOff>
      <xdr:row>44</xdr:row>
      <xdr:rowOff>0</xdr:rowOff>
    </xdr:from>
    <xdr:ext cx="226030" cy="176893"/>
    <xdr:pic>
      <xdr:nvPicPr>
        <xdr:cNvPr id="10" name="Рисунок 9">
          <a:extLst>
            <a:ext uri="{FF2B5EF4-FFF2-40B4-BE49-F238E27FC236}">
              <a16:creationId xmlns:a16="http://schemas.microsoft.com/office/drawing/2014/main" id="{00000000-0008-0000-0500-00000A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6096000"/>
          <a:ext cx="226030" cy="17689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226030</xdr:colOff>
      <xdr:row>4</xdr:row>
      <xdr:rowOff>176893</xdr:rowOff>
    </xdr:to>
    <xdr:pic>
      <xdr:nvPicPr>
        <xdr:cNvPr id="2" name="Рисунок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762000"/>
          <a:ext cx="226030" cy="1768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323850</xdr:colOff>
          <xdr:row>7</xdr:row>
          <xdr:rowOff>0</xdr:rowOff>
        </xdr:from>
        <xdr:to>
          <xdr:col>2</xdr:col>
          <xdr:colOff>38100</xdr:colOff>
          <xdr:row>8</xdr:row>
          <xdr:rowOff>12700</xdr:rowOff>
        </xdr:to>
        <xdr:sp macro="" textlink="">
          <xdr:nvSpPr>
            <xdr:cNvPr id="7169" name="Drop Down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0</xdr:col>
      <xdr:colOff>0</xdr:colOff>
      <xdr:row>15</xdr:row>
      <xdr:rowOff>0</xdr:rowOff>
    </xdr:from>
    <xdr:ext cx="226030" cy="176893"/>
    <xdr:pic>
      <xdr:nvPicPr>
        <xdr:cNvPr id="12" name="Рисунок 11">
          <a:extLst>
            <a:ext uri="{FF2B5EF4-FFF2-40B4-BE49-F238E27FC236}">
              <a16:creationId xmlns:a16="http://schemas.microsoft.com/office/drawing/2014/main" id="{00000000-0008-0000-0600-00000C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762000"/>
          <a:ext cx="226030" cy="17689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546100</xdr:colOff>
          <xdr:row>25</xdr:row>
          <xdr:rowOff>0</xdr:rowOff>
        </xdr:from>
        <xdr:to>
          <xdr:col>2</xdr:col>
          <xdr:colOff>12700</xdr:colOff>
          <xdr:row>26</xdr:row>
          <xdr:rowOff>12700</xdr:rowOff>
        </xdr:to>
        <xdr:sp macro="" textlink="">
          <xdr:nvSpPr>
            <xdr:cNvPr id="7170" name="Drop Down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0</xdr:col>
      <xdr:colOff>0</xdr:colOff>
      <xdr:row>34</xdr:row>
      <xdr:rowOff>0</xdr:rowOff>
    </xdr:from>
    <xdr:ext cx="226030" cy="176893"/>
    <xdr:pic>
      <xdr:nvPicPr>
        <xdr:cNvPr id="14" name="Рисунок 13">
          <a:extLst>
            <a:ext uri="{FF2B5EF4-FFF2-40B4-BE49-F238E27FC236}">
              <a16:creationId xmlns:a16="http://schemas.microsoft.com/office/drawing/2014/main" id="{00000000-0008-0000-0600-00000E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762000"/>
          <a:ext cx="226030" cy="17689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107950</xdr:colOff>
          <xdr:row>36</xdr:row>
          <xdr:rowOff>184150</xdr:rowOff>
        </xdr:from>
        <xdr:to>
          <xdr:col>5</xdr:col>
          <xdr:colOff>107950</xdr:colOff>
          <xdr:row>38</xdr:row>
          <xdr:rowOff>19050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0</xdr:col>
      <xdr:colOff>0</xdr:colOff>
      <xdr:row>42</xdr:row>
      <xdr:rowOff>0</xdr:rowOff>
    </xdr:from>
    <xdr:ext cx="226030" cy="176893"/>
    <xdr:pic>
      <xdr:nvPicPr>
        <xdr:cNvPr id="8" name="Рисунок 7">
          <a:extLst>
            <a:ext uri="{FF2B5EF4-FFF2-40B4-BE49-F238E27FC236}">
              <a16:creationId xmlns:a16="http://schemas.microsoft.com/office/drawing/2014/main" id="{00000000-0008-0000-0600-000008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6477000"/>
          <a:ext cx="226030" cy="17689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450850</xdr:colOff>
          <xdr:row>45</xdr:row>
          <xdr:rowOff>0</xdr:rowOff>
        </xdr:from>
        <xdr:to>
          <xdr:col>6</xdr:col>
          <xdr:colOff>552450</xdr:colOff>
          <xdr:row>46</xdr:row>
          <xdr:rowOff>12700</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0</xdr:col>
      <xdr:colOff>0</xdr:colOff>
      <xdr:row>50</xdr:row>
      <xdr:rowOff>0</xdr:rowOff>
    </xdr:from>
    <xdr:ext cx="226030" cy="176893"/>
    <xdr:pic>
      <xdr:nvPicPr>
        <xdr:cNvPr id="10" name="Рисунок 9">
          <a:extLst>
            <a:ext uri="{FF2B5EF4-FFF2-40B4-BE49-F238E27FC236}">
              <a16:creationId xmlns:a16="http://schemas.microsoft.com/office/drawing/2014/main" id="{00000000-0008-0000-0600-00000A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8001000"/>
          <a:ext cx="226030" cy="17689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361950</xdr:colOff>
          <xdr:row>52</xdr:row>
          <xdr:rowOff>184150</xdr:rowOff>
        </xdr:from>
        <xdr:to>
          <xdr:col>9</xdr:col>
          <xdr:colOff>0</xdr:colOff>
          <xdr:row>54</xdr:row>
          <xdr:rowOff>12700</xdr:rowOff>
        </xdr:to>
        <xdr:sp macro="" textlink="">
          <xdr:nvSpPr>
            <xdr:cNvPr id="7173" name="Drop Down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0</xdr:col>
      <xdr:colOff>0</xdr:colOff>
      <xdr:row>58</xdr:row>
      <xdr:rowOff>0</xdr:rowOff>
    </xdr:from>
    <xdr:ext cx="226030" cy="176893"/>
    <xdr:pic>
      <xdr:nvPicPr>
        <xdr:cNvPr id="13" name="Рисунок 12">
          <a:extLst>
            <a:ext uri="{FF2B5EF4-FFF2-40B4-BE49-F238E27FC236}">
              <a16:creationId xmlns:a16="http://schemas.microsoft.com/office/drawing/2014/main" id="{00000000-0008-0000-0600-00000D000000}"/>
            </a:ext>
          </a:extLst>
        </xdr:cNvPr>
        <xdr:cNvPicPr>
          <a:picLocks noChangeAspect="1"/>
        </xdr:cNvPicPr>
      </xdr:nvPicPr>
      <xdr:blipFill rotWithShape="1">
        <a:blip xmlns:r="http://schemas.openxmlformats.org/officeDocument/2006/relationships" r:embed="rId1"/>
        <a:srcRect l="25836" t="22162" r="70487" b="72702"/>
        <a:stretch/>
      </xdr:blipFill>
      <xdr:spPr>
        <a:xfrm>
          <a:off x="0" y="9525000"/>
          <a:ext cx="226030" cy="17689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457200</xdr:colOff>
          <xdr:row>60</xdr:row>
          <xdr:rowOff>184150</xdr:rowOff>
        </xdr:from>
        <xdr:to>
          <xdr:col>5</xdr:col>
          <xdr:colOff>508000</xdr:colOff>
          <xdr:row>62</xdr:row>
          <xdr:rowOff>0</xdr:rowOff>
        </xdr:to>
        <xdr:sp macro="" textlink="">
          <xdr:nvSpPr>
            <xdr:cNvPr id="7174" name="Drop Down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508000</xdr:colOff>
          <xdr:row>5</xdr:row>
          <xdr:rowOff>171450</xdr:rowOff>
        </xdr:from>
        <xdr:to>
          <xdr:col>3</xdr:col>
          <xdr:colOff>495300</xdr:colOff>
          <xdr:row>6</xdr:row>
          <xdr:rowOff>184150</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xdr:row>
          <xdr:rowOff>171450</xdr:rowOff>
        </xdr:from>
        <xdr:to>
          <xdr:col>9</xdr:col>
          <xdr:colOff>0</xdr:colOff>
          <xdr:row>13</xdr:row>
          <xdr:rowOff>19050</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603250</xdr:colOff>
          <xdr:row>3</xdr:row>
          <xdr:rowOff>171450</xdr:rowOff>
        </xdr:from>
        <xdr:to>
          <xdr:col>8</xdr:col>
          <xdr:colOff>165100</xdr:colOff>
          <xdr:row>5</xdr:row>
          <xdr:rowOff>12700</xdr:rowOff>
        </xdr:to>
        <xdr:sp macro="" textlink="">
          <xdr:nvSpPr>
            <xdr:cNvPr id="9218" name="Drop Down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114300</xdr:colOff>
      <xdr:row>8</xdr:row>
      <xdr:rowOff>69850</xdr:rowOff>
    </xdr:from>
    <xdr:to>
      <xdr:col>4</xdr:col>
      <xdr:colOff>564697</xdr:colOff>
      <xdr:row>8</xdr:row>
      <xdr:rowOff>70304</xdr:rowOff>
    </xdr:to>
    <xdr:cxnSp macro="">
      <xdr:nvCxnSpPr>
        <xdr:cNvPr id="3" name="Straight Arrow Connector 2">
          <a:extLst>
            <a:ext uri="{FF2B5EF4-FFF2-40B4-BE49-F238E27FC236}">
              <a16:creationId xmlns:a16="http://schemas.microsoft.com/office/drawing/2014/main" id="{00000000-0008-0000-0800-000003000000}"/>
            </a:ext>
          </a:extLst>
        </xdr:cNvPr>
        <xdr:cNvCxnSpPr/>
      </xdr:nvCxnSpPr>
      <xdr:spPr>
        <a:xfrm>
          <a:off x="2554514" y="988332"/>
          <a:ext cx="450397" cy="454"/>
        </a:xfrm>
        <a:prstGeom prst="straightConnector1">
          <a:avLst/>
        </a:prstGeom>
        <a:ln>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5.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10.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6.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11.xml"/><Relationship Id="rId16" Type="http://schemas.openxmlformats.org/officeDocument/2006/relationships/ctrlProp" Target="../ctrlProps/ctrlProp41.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0.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8.vml"/><Relationship Id="rId7" Type="http://schemas.openxmlformats.org/officeDocument/2006/relationships/ctrlProp" Target="../ctrlProps/ctrlProp48.xml"/><Relationship Id="rId2" Type="http://schemas.openxmlformats.org/officeDocument/2006/relationships/drawing" Target="../drawings/drawing13.xml"/><Relationship Id="rId1" Type="http://schemas.openxmlformats.org/officeDocument/2006/relationships/printerSettings" Target="../printerSettings/printerSettings11.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9.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14.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12.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5" Type="http://schemas.openxmlformats.org/officeDocument/2006/relationships/ctrlProp" Target="../ctrlProps/ctrlProp62.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73.xml"/><Relationship Id="rId3" Type="http://schemas.openxmlformats.org/officeDocument/2006/relationships/vmlDrawing" Target="../drawings/vmlDrawing10.vml"/><Relationship Id="rId7" Type="http://schemas.openxmlformats.org/officeDocument/2006/relationships/ctrlProp" Target="../ctrlProps/ctrlProp72.xml"/><Relationship Id="rId2" Type="http://schemas.openxmlformats.org/officeDocument/2006/relationships/drawing" Target="../drawings/drawing15.xml"/><Relationship Id="rId1" Type="http://schemas.openxmlformats.org/officeDocument/2006/relationships/printerSettings" Target="../printerSettings/printerSettings13.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ctrlProp" Target="../ctrlProps/ctrlProp69.xml"/><Relationship Id="rId9" Type="http://schemas.openxmlformats.org/officeDocument/2006/relationships/ctrlProp" Target="../ctrlProps/ctrlProp7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11.vml"/><Relationship Id="rId7" Type="http://schemas.openxmlformats.org/officeDocument/2006/relationships/ctrlProp" Target="../ctrlProps/ctrlProp78.xml"/><Relationship Id="rId12" Type="http://schemas.openxmlformats.org/officeDocument/2006/relationships/ctrlProp" Target="../ctrlProps/ctrlProp83.xml"/><Relationship Id="rId2" Type="http://schemas.openxmlformats.org/officeDocument/2006/relationships/drawing" Target="../drawings/drawing16.xml"/><Relationship Id="rId1" Type="http://schemas.openxmlformats.org/officeDocument/2006/relationships/printerSettings" Target="../printerSettings/printerSettings15.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trlProp" Target="../ctrlProps/ctrlProp8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7.xml"/><Relationship Id="rId1" Type="http://schemas.openxmlformats.org/officeDocument/2006/relationships/printerSettings" Target="../printerSettings/printerSettings5.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6.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sheet____2"/>
  <dimension ref="A1:AC58"/>
  <sheetViews>
    <sheetView showGridLines="0" showRowColHeaders="0" tabSelected="1" zoomScaleNormal="100" workbookViewId="0"/>
  </sheetViews>
  <sheetFormatPr defaultColWidth="9.1796875" defaultRowHeight="14.5" x14ac:dyDescent="0.35"/>
  <cols>
    <col min="1" max="28" width="9.1796875" style="1"/>
    <col min="29" max="29" width="9.1796875" style="17"/>
    <col min="30" max="16384" width="9.1796875" style="1"/>
  </cols>
  <sheetData>
    <row r="1" spans="1:29" x14ac:dyDescent="0.35">
      <c r="A1" s="51"/>
    </row>
    <row r="2" spans="1:29" x14ac:dyDescent="0.35">
      <c r="AC2" s="17" t="s">
        <v>2</v>
      </c>
    </row>
    <row r="3" spans="1:29" x14ac:dyDescent="0.35">
      <c r="AC3" s="17" t="s">
        <v>3</v>
      </c>
    </row>
    <row r="4" spans="1:29" x14ac:dyDescent="0.35">
      <c r="AC4" s="17" t="s">
        <v>4</v>
      </c>
    </row>
    <row r="5" spans="1:29" x14ac:dyDescent="0.35">
      <c r="A5" s="91"/>
      <c r="B5" s="92"/>
      <c r="C5" s="92"/>
      <c r="D5" s="92"/>
      <c r="E5" s="92"/>
      <c r="F5" s="92"/>
      <c r="G5" s="92"/>
      <c r="H5" s="92"/>
      <c r="I5" s="92"/>
      <c r="AC5" s="17" t="s">
        <v>5</v>
      </c>
    </row>
    <row r="6" spans="1:29" x14ac:dyDescent="0.35">
      <c r="A6" s="92"/>
      <c r="B6" s="92"/>
      <c r="C6" s="92"/>
      <c r="D6" s="92"/>
      <c r="E6" s="92"/>
      <c r="F6" s="92"/>
      <c r="G6" s="92"/>
      <c r="H6" s="92"/>
      <c r="I6" s="92"/>
      <c r="AC6" s="17" t="s">
        <v>6</v>
      </c>
    </row>
    <row r="7" spans="1:29" x14ac:dyDescent="0.35">
      <c r="A7" s="92"/>
      <c r="B7" s="92"/>
      <c r="C7" s="92"/>
      <c r="D7" s="92"/>
      <c r="E7" s="92"/>
      <c r="F7" s="92"/>
      <c r="G7" s="92"/>
      <c r="H7" s="92"/>
      <c r="I7" s="92"/>
      <c r="AC7" s="17" t="s">
        <v>7</v>
      </c>
    </row>
    <row r="8" spans="1:29" x14ac:dyDescent="0.35">
      <c r="A8" s="92"/>
      <c r="B8" s="92"/>
      <c r="C8" s="92"/>
      <c r="D8" s="92"/>
      <c r="E8" s="92"/>
      <c r="F8" s="92"/>
      <c r="G8" s="92"/>
      <c r="H8" s="92"/>
      <c r="I8" s="92"/>
      <c r="AC8" s="17" t="s">
        <v>8</v>
      </c>
    </row>
    <row r="9" spans="1:29" x14ac:dyDescent="0.35">
      <c r="A9" s="92"/>
      <c r="B9" s="92"/>
      <c r="C9" s="92"/>
      <c r="D9" s="92"/>
      <c r="E9" s="92"/>
      <c r="F9" s="92"/>
      <c r="G9" s="92"/>
      <c r="H9" s="92"/>
      <c r="I9" s="92"/>
      <c r="AC9" s="17" t="s">
        <v>9</v>
      </c>
    </row>
    <row r="10" spans="1:29" x14ac:dyDescent="0.35">
      <c r="A10" s="92"/>
      <c r="B10" s="92"/>
      <c r="C10" s="92"/>
      <c r="D10" s="92"/>
      <c r="E10" s="92"/>
      <c r="F10" s="92"/>
      <c r="G10" s="92"/>
      <c r="H10" s="92"/>
      <c r="I10" s="92"/>
    </row>
    <row r="11" spans="1:29" x14ac:dyDescent="0.35">
      <c r="A11" s="92"/>
      <c r="B11" s="92"/>
      <c r="C11" s="92"/>
      <c r="D11" s="92"/>
      <c r="E11" s="92"/>
      <c r="F11" s="92"/>
      <c r="G11" s="92"/>
      <c r="H11" s="92"/>
      <c r="I11" s="92"/>
      <c r="AC11" s="17" t="s">
        <v>11</v>
      </c>
    </row>
    <row r="12" spans="1:29" x14ac:dyDescent="0.35">
      <c r="AC12" s="17" t="s">
        <v>12</v>
      </c>
    </row>
    <row r="13" spans="1:29" x14ac:dyDescent="0.35">
      <c r="A13" s="99" t="s">
        <v>464</v>
      </c>
      <c r="B13" s="99"/>
      <c r="C13" s="99"/>
      <c r="D13" s="99"/>
      <c r="E13" s="99"/>
      <c r="F13" s="99"/>
      <c r="G13" s="99"/>
      <c r="H13" s="99"/>
      <c r="I13" s="99"/>
      <c r="J13" s="99"/>
      <c r="K13" s="99"/>
      <c r="L13" s="99"/>
      <c r="M13" s="99"/>
      <c r="N13" s="99"/>
      <c r="AC13" s="17" t="s">
        <v>13</v>
      </c>
    </row>
    <row r="14" spans="1:29" ht="15" customHeight="1" x14ac:dyDescent="0.35">
      <c r="A14" s="99"/>
      <c r="B14" s="99"/>
      <c r="C14" s="99"/>
      <c r="D14" s="99"/>
      <c r="E14" s="99"/>
      <c r="F14" s="99"/>
      <c r="G14" s="99"/>
      <c r="H14" s="99"/>
      <c r="I14" s="99"/>
      <c r="J14" s="99"/>
      <c r="K14" s="99"/>
      <c r="L14" s="99"/>
      <c r="M14" s="99"/>
      <c r="N14" s="99"/>
      <c r="AC14" s="17" t="s">
        <v>14</v>
      </c>
    </row>
    <row r="15" spans="1:29" ht="15" customHeight="1" x14ac:dyDescent="0.35">
      <c r="A15" s="99"/>
      <c r="B15" s="99"/>
      <c r="C15" s="99"/>
      <c r="D15" s="99"/>
      <c r="E15" s="99"/>
      <c r="F15" s="99"/>
      <c r="G15" s="99"/>
      <c r="H15" s="99"/>
      <c r="I15" s="99"/>
      <c r="J15" s="99"/>
      <c r="K15" s="99"/>
      <c r="L15" s="99"/>
      <c r="M15" s="99"/>
      <c r="N15" s="99"/>
    </row>
    <row r="16" spans="1:29" ht="15" customHeight="1" x14ac:dyDescent="0.35">
      <c r="A16" s="99"/>
      <c r="B16" s="99"/>
      <c r="C16" s="99"/>
      <c r="D16" s="99"/>
      <c r="E16" s="99"/>
      <c r="F16" s="99"/>
      <c r="G16" s="99"/>
      <c r="H16" s="99"/>
      <c r="I16" s="99"/>
      <c r="J16" s="99"/>
      <c r="K16" s="99"/>
      <c r="L16" s="99"/>
      <c r="M16" s="99"/>
      <c r="N16" s="99"/>
    </row>
    <row r="17" spans="1:14" ht="15" customHeight="1" x14ac:dyDescent="0.35">
      <c r="A17" s="99"/>
      <c r="B17" s="99"/>
      <c r="C17" s="99"/>
      <c r="D17" s="99"/>
      <c r="E17" s="99"/>
      <c r="F17" s="99"/>
      <c r="G17" s="99"/>
      <c r="H17" s="99"/>
      <c r="I17" s="99"/>
      <c r="J17" s="99"/>
      <c r="K17" s="99"/>
      <c r="L17" s="99"/>
      <c r="M17" s="99"/>
      <c r="N17" s="99"/>
    </row>
    <row r="18" spans="1:14" ht="15" customHeight="1" x14ac:dyDescent="0.35">
      <c r="A18" s="99"/>
      <c r="B18" s="99"/>
      <c r="C18" s="99"/>
      <c r="D18" s="99"/>
      <c r="E18" s="99"/>
      <c r="F18" s="99"/>
      <c r="G18" s="99"/>
      <c r="H18" s="99"/>
      <c r="I18" s="99"/>
      <c r="J18" s="99"/>
      <c r="K18" s="99"/>
      <c r="L18" s="99"/>
      <c r="M18" s="99"/>
      <c r="N18" s="99"/>
    </row>
    <row r="20" spans="1:14" x14ac:dyDescent="0.35">
      <c r="A20" s="3" t="s">
        <v>0</v>
      </c>
    </row>
    <row r="21" spans="1:14" x14ac:dyDescent="0.35">
      <c r="A21" s="3"/>
    </row>
    <row r="22" spans="1:14" x14ac:dyDescent="0.35">
      <c r="N22" s="13"/>
    </row>
    <row r="23" spans="1:14" x14ac:dyDescent="0.35">
      <c r="A23" s="93" t="s">
        <v>1</v>
      </c>
      <c r="B23" s="93"/>
      <c r="C23" s="93"/>
      <c r="N23" s="13">
        <v>1</v>
      </c>
    </row>
    <row r="25" spans="1:14" ht="15" customHeight="1" x14ac:dyDescent="0.35">
      <c r="A25" s="94" t="str">
        <f>IF(N23=2,"უკუნაჩვენებია, რანდომიზებული კონტროლირებადი კვლევებით არასასურველი გამოსავლის გამო",IF(N23=3,"უკუნაჩვენებია, რანდომიზებული კონტროლირებადი კვლევებით სუსტი ეფექტურობის და ცუდი უსაფრთხოების პროფილის გამო",IF(N23=4,"ჩართულია არავიტამინ K ანტაგონისტური ორალური ანტიკოაგულანტების კვლევებში",IF(N23=5,"მისაღებია",IF(N23=6,"შეზღუდული მონაცემები",IF(N23=7,"მისაღებია. შესაძლებელია დადგეს ანტიაგრეგაციულ აგენტთან კომბინაციის საჭიროება",IF(N23=8,"სიფრთხილით! შესაძლებელია დადგეს ანტიაგრეგაციულ აგენტთან კომბინაციის საჭიროება",IF(N23=9,"მისაღებია, ძირითდად, ობსერვაციული კვლევების მონაცემებზე დაყრდნობით",""))))))))</f>
        <v/>
      </c>
      <c r="B25" s="94"/>
      <c r="C25" s="94"/>
      <c r="D25" s="94"/>
      <c r="E25" s="94"/>
      <c r="F25" s="94"/>
      <c r="G25" s="94"/>
      <c r="H25" s="94"/>
      <c r="I25" s="94"/>
      <c r="J25" s="94"/>
      <c r="K25" s="94"/>
      <c r="L25" s="94"/>
      <c r="M25" s="94"/>
      <c r="N25" s="94"/>
    </row>
    <row r="26" spans="1:14" x14ac:dyDescent="0.35">
      <c r="A26" s="94"/>
      <c r="B26" s="94"/>
      <c r="C26" s="94"/>
      <c r="D26" s="94"/>
      <c r="E26" s="94"/>
      <c r="F26" s="94"/>
      <c r="G26" s="94"/>
      <c r="H26" s="94"/>
      <c r="I26" s="94"/>
      <c r="J26" s="94"/>
      <c r="K26" s="94"/>
      <c r="L26" s="94"/>
      <c r="M26" s="94"/>
      <c r="N26" s="94"/>
    </row>
    <row r="27" spans="1:14" x14ac:dyDescent="0.35">
      <c r="A27" s="94"/>
      <c r="B27" s="94"/>
      <c r="C27" s="94"/>
      <c r="D27" s="94"/>
      <c r="E27" s="94"/>
      <c r="F27" s="94"/>
      <c r="G27" s="94"/>
      <c r="H27" s="94"/>
      <c r="I27" s="94"/>
      <c r="J27" s="94"/>
      <c r="K27" s="94"/>
      <c r="L27" s="94"/>
      <c r="M27" s="94"/>
      <c r="N27" s="94"/>
    </row>
    <row r="29" spans="1:14" x14ac:dyDescent="0.35">
      <c r="A29" s="7" t="s">
        <v>10</v>
      </c>
      <c r="B29" s="7"/>
      <c r="C29" s="7"/>
      <c r="D29" s="7"/>
      <c r="E29" s="7"/>
      <c r="F29" s="7"/>
      <c r="G29" s="7"/>
      <c r="H29" s="7"/>
      <c r="I29" s="8" t="s">
        <v>32</v>
      </c>
      <c r="J29" s="7"/>
    </row>
    <row r="30" spans="1:14" x14ac:dyDescent="0.35">
      <c r="I30" s="8" t="s">
        <v>33</v>
      </c>
      <c r="J30" s="2"/>
    </row>
    <row r="31" spans="1:14" x14ac:dyDescent="0.35">
      <c r="I31" s="8" t="s">
        <v>34</v>
      </c>
      <c r="J31" s="2"/>
    </row>
    <row r="32" spans="1:14" x14ac:dyDescent="0.35">
      <c r="I32" s="8" t="s">
        <v>35</v>
      </c>
      <c r="J32" s="2"/>
    </row>
    <row r="34" spans="1:14" x14ac:dyDescent="0.35">
      <c r="A34" s="90" t="s">
        <v>60</v>
      </c>
      <c r="B34" s="90"/>
      <c r="C34" s="90"/>
      <c r="D34" s="90"/>
      <c r="E34" s="90"/>
      <c r="F34" s="90"/>
      <c r="G34" s="90"/>
      <c r="H34" s="90"/>
      <c r="I34" s="90"/>
      <c r="J34" s="90"/>
      <c r="K34" s="90"/>
      <c r="L34" s="90"/>
      <c r="M34" s="90"/>
      <c r="N34" s="90"/>
    </row>
    <row r="35" spans="1:14" ht="15" customHeight="1" x14ac:dyDescent="0.35">
      <c r="A35" s="6"/>
      <c r="B35" s="6"/>
      <c r="C35" s="6"/>
      <c r="D35" s="6"/>
      <c r="E35" s="6"/>
      <c r="F35" s="6"/>
      <c r="G35" s="6"/>
      <c r="H35" s="6"/>
      <c r="I35" s="6"/>
      <c r="J35" s="6"/>
      <c r="K35" s="6"/>
      <c r="L35" s="6"/>
      <c r="M35" s="6"/>
      <c r="N35" s="6"/>
    </row>
    <row r="36" spans="1:14" x14ac:dyDescent="0.35">
      <c r="A36" s="97" t="s">
        <v>82</v>
      </c>
      <c r="B36" s="97"/>
      <c r="C36" s="97"/>
      <c r="D36" s="97"/>
      <c r="E36" s="97"/>
      <c r="F36" s="97"/>
      <c r="G36" s="97"/>
      <c r="H36" s="97"/>
      <c r="I36" s="97"/>
      <c r="J36" s="97"/>
      <c r="K36" s="97"/>
      <c r="L36" s="97"/>
      <c r="M36" s="97"/>
      <c r="N36" s="97"/>
    </row>
    <row r="38" spans="1:14" x14ac:dyDescent="0.35">
      <c r="A38" s="97" t="s">
        <v>112</v>
      </c>
      <c r="B38" s="97"/>
      <c r="C38" s="97"/>
      <c r="D38" s="97"/>
      <c r="E38" s="97"/>
      <c r="F38" s="97"/>
      <c r="G38" s="97"/>
      <c r="H38" s="97"/>
      <c r="I38" s="97"/>
      <c r="J38" s="97"/>
      <c r="K38" s="97"/>
      <c r="L38" s="97"/>
      <c r="M38" s="97"/>
      <c r="N38" s="97"/>
    </row>
    <row r="40" spans="1:14" x14ac:dyDescent="0.35">
      <c r="A40" s="98" t="s">
        <v>296</v>
      </c>
      <c r="B40" s="98"/>
      <c r="C40" s="98"/>
      <c r="D40" s="98"/>
      <c r="E40" s="98"/>
      <c r="F40" s="98"/>
      <c r="G40" s="98"/>
      <c r="H40" s="98"/>
      <c r="I40" s="98"/>
      <c r="J40" s="98"/>
      <c r="K40" s="98"/>
      <c r="L40" s="98"/>
      <c r="M40" s="98"/>
      <c r="N40" s="98"/>
    </row>
    <row r="42" spans="1:14" x14ac:dyDescent="0.35">
      <c r="A42" s="98" t="s">
        <v>298</v>
      </c>
      <c r="B42" s="98"/>
      <c r="C42" s="98"/>
      <c r="D42" s="98"/>
      <c r="E42" s="98"/>
      <c r="F42" s="98"/>
      <c r="G42" s="98"/>
      <c r="H42" s="98"/>
      <c r="I42" s="98"/>
      <c r="J42" s="98"/>
      <c r="K42" s="98"/>
      <c r="L42" s="98"/>
      <c r="M42" s="98"/>
      <c r="N42" s="98"/>
    </row>
    <row r="44" spans="1:14" x14ac:dyDescent="0.35">
      <c r="A44" s="98" t="s">
        <v>304</v>
      </c>
      <c r="B44" s="98"/>
      <c r="C44" s="98"/>
      <c r="D44" s="98"/>
      <c r="E44" s="98"/>
      <c r="F44" s="98"/>
      <c r="G44" s="98"/>
      <c r="H44" s="98"/>
      <c r="I44" s="98"/>
      <c r="J44" s="98"/>
      <c r="K44" s="98"/>
      <c r="L44" s="98"/>
      <c r="M44" s="98"/>
      <c r="N44" s="98"/>
    </row>
    <row r="46" spans="1:14" x14ac:dyDescent="0.35">
      <c r="A46" s="98" t="s">
        <v>310</v>
      </c>
      <c r="B46" s="98"/>
      <c r="C46" s="98"/>
      <c r="D46" s="98"/>
      <c r="E46" s="98"/>
      <c r="F46" s="98"/>
      <c r="G46" s="98"/>
      <c r="H46" s="98"/>
      <c r="I46" s="98"/>
      <c r="J46" s="98"/>
      <c r="K46" s="98"/>
      <c r="L46" s="98"/>
      <c r="M46" s="98"/>
      <c r="N46" s="98"/>
    </row>
    <row r="48" spans="1:14" x14ac:dyDescent="0.35">
      <c r="A48" s="89" t="s">
        <v>465</v>
      </c>
      <c r="B48" s="89"/>
      <c r="C48" s="89"/>
      <c r="D48" s="89"/>
      <c r="E48" s="89"/>
      <c r="F48" s="89"/>
      <c r="G48" s="89"/>
      <c r="H48" s="89"/>
      <c r="I48" s="89"/>
      <c r="J48" s="89"/>
      <c r="K48" s="89"/>
      <c r="L48" s="89"/>
      <c r="M48" s="89"/>
      <c r="N48" s="89"/>
    </row>
    <row r="50" spans="1:14" x14ac:dyDescent="0.35">
      <c r="A50" s="89" t="s">
        <v>408</v>
      </c>
      <c r="B50" s="89"/>
      <c r="C50" s="89"/>
      <c r="D50" s="89"/>
      <c r="E50" s="89"/>
      <c r="F50" s="89"/>
      <c r="G50" s="89"/>
      <c r="H50" s="89"/>
      <c r="I50" s="89"/>
      <c r="J50" s="89"/>
      <c r="K50" s="89"/>
      <c r="L50" s="89"/>
      <c r="M50" s="89"/>
      <c r="N50" s="89"/>
    </row>
    <row r="52" spans="1:14" x14ac:dyDescent="0.35">
      <c r="A52" s="89" t="s">
        <v>410</v>
      </c>
      <c r="B52" s="89"/>
      <c r="C52" s="89"/>
      <c r="D52" s="89"/>
      <c r="E52" s="89"/>
      <c r="F52" s="89"/>
      <c r="G52" s="89"/>
      <c r="H52" s="89"/>
      <c r="I52" s="89"/>
      <c r="J52" s="89"/>
      <c r="K52" s="89"/>
      <c r="L52" s="89"/>
      <c r="M52" s="89"/>
      <c r="N52" s="89"/>
    </row>
    <row r="54" spans="1:14" x14ac:dyDescent="0.35">
      <c r="A54" s="95" t="s">
        <v>421</v>
      </c>
      <c r="B54" s="96"/>
      <c r="C54" s="96"/>
      <c r="D54" s="96"/>
      <c r="E54" s="96"/>
      <c r="F54" s="96"/>
      <c r="G54" s="96"/>
      <c r="H54" s="96"/>
      <c r="I54" s="96"/>
      <c r="J54" s="96"/>
      <c r="K54" s="96"/>
      <c r="L54" s="96"/>
      <c r="M54" s="96"/>
      <c r="N54" s="96"/>
    </row>
    <row r="56" spans="1:14" x14ac:dyDescent="0.35">
      <c r="A56" s="89" t="s">
        <v>453</v>
      </c>
      <c r="B56" s="89"/>
      <c r="C56" s="89"/>
      <c r="D56" s="89"/>
      <c r="E56" s="89"/>
      <c r="F56" s="89"/>
      <c r="G56" s="89"/>
      <c r="H56" s="89"/>
      <c r="I56" s="89"/>
      <c r="J56" s="89"/>
      <c r="K56" s="89"/>
      <c r="L56" s="89"/>
      <c r="M56" s="89"/>
      <c r="N56" s="89"/>
    </row>
    <row r="58" spans="1:14" x14ac:dyDescent="0.35">
      <c r="A58" s="98" t="s">
        <v>463</v>
      </c>
      <c r="B58" s="177"/>
      <c r="C58" s="177"/>
      <c r="D58" s="177"/>
      <c r="E58" s="177"/>
      <c r="F58" s="177"/>
      <c r="G58" s="177"/>
      <c r="H58" s="177"/>
      <c r="I58" s="177"/>
      <c r="J58" s="177"/>
      <c r="K58" s="177"/>
      <c r="L58" s="177"/>
      <c r="M58" s="177"/>
      <c r="N58" s="177"/>
    </row>
  </sheetData>
  <sheetProtection algorithmName="SHA-512" hashValue="RLOLzY13IXxIi/InEJ4VkzP0YE+uUxm4QMNSKlHNuD0qrHEShThbCq1O8UeAulWpiHHLZYtjsHSB/PPvqddY9g==" saltValue="FOIiAKTzWzi7hCjHjYllRg==" spinCount="100000" sheet="1" objects="1" scenarios="1"/>
  <mergeCells count="17">
    <mergeCell ref="A13:N18"/>
    <mergeCell ref="A56:N56"/>
    <mergeCell ref="A58:N58"/>
    <mergeCell ref="A34:N34"/>
    <mergeCell ref="A5:I11"/>
    <mergeCell ref="A23:C23"/>
    <mergeCell ref="A25:N27"/>
    <mergeCell ref="A52:N52"/>
    <mergeCell ref="A54:N54"/>
    <mergeCell ref="A50:N50"/>
    <mergeCell ref="A48:N48"/>
    <mergeCell ref="A36:N36"/>
    <mergeCell ref="A40:N40"/>
    <mergeCell ref="A42:N42"/>
    <mergeCell ref="A44:N44"/>
    <mergeCell ref="A46:N46"/>
    <mergeCell ref="A38:N38"/>
  </mergeCells>
  <conditionalFormatting sqref="A25">
    <cfRule type="containsText" dxfId="185" priority="6" operator="containsText" text="არასასურველი">
      <formula>NOT(ISERROR(SEARCH("არასასურველი",A25)))</formula>
    </cfRule>
  </conditionalFormatting>
  <conditionalFormatting sqref="A25:N27">
    <cfRule type="containsText" dxfId="184" priority="1" operator="containsText" text="!">
      <formula>NOT(ISERROR(SEARCH("!",A25)))</formula>
    </cfRule>
    <cfRule type="containsText" dxfId="183" priority="2" operator="containsText" text="შეზღუდული">
      <formula>NOT(ISERROR(SEARCH("შეზღუდული",A25)))</formula>
    </cfRule>
    <cfRule type="containsText" dxfId="182" priority="3" operator="containsText" text="მისაღებია">
      <formula>NOT(ISERROR(SEARCH("მისაღებია",A25)))</formula>
    </cfRule>
    <cfRule type="containsText" dxfId="181" priority="4" operator="containsText" text="ჩართულია">
      <formula>NOT(ISERROR(SEARCH("ჩართულია",A25)))</formula>
    </cfRule>
    <cfRule type="containsText" dxfId="180" priority="5" operator="containsText" text="ცუდი">
      <formula>NOT(ISERROR(SEARCH("ცუდი",A25)))</formula>
    </cfRule>
  </conditionalFormatting>
  <hyperlinks>
    <hyperlink ref="I29" location="Apixaban!A1" display="* აპიქსაბანი" xr:uid="{00000000-0004-0000-0000-000000000000}"/>
    <hyperlink ref="I30" location="Dabigatran!A1" display="* დაბიგატრანი" xr:uid="{00000000-0004-0000-0000-000001000000}"/>
    <hyperlink ref="I31" location="Edoxaban!A1" display="* ედოქსაბანი" xr:uid="{00000000-0004-0000-0000-000002000000}"/>
    <hyperlink ref="I32" location="Rivaroxaban!A1" display="* რივაროქსაბანი" xr:uid="{00000000-0004-0000-0000-000003000000}"/>
    <hyperlink ref="A34:N34" location="Checklist!A1" display="            შემდგომი დაკვირვების საკონტროლო პუნქტების ჩამონათვალი " xr:uid="{00000000-0004-0000-0000-000004000000}"/>
    <hyperlink ref="A36:N36" location="Switching!A1" display="            ანტიკოაგულაციური რეჟიმებს შორის გადართვა (switching)" xr:uid="{00000000-0004-0000-0000-000005000000}"/>
    <hyperlink ref="A38:N38" location="Interaction!A1" display="            წამალების და კლინიკური ფაქტორების ზეგავლენა NOAC-ის კონცენტრაციაზე და ანტიკოაგულაციურ ეფექტზე" xr:uid="{00000000-0004-0000-0000-000006000000}"/>
    <hyperlink ref="A40:N40" location="GFR!A1" display="          NOAC -ების ჩვენებები გლომერულოფილტრაციის სიჩქარის მიხედვით" xr:uid="{00000000-0004-0000-0000-000007000000}"/>
    <hyperlink ref="A42:N42" location="Liver!A1" display="            NOAC -ები ღვიძლის დაავადების მქონე პაციენტებში" xr:uid="{00000000-0004-0000-0000-000008000000}"/>
    <hyperlink ref="A44:N44" location="Bleeding!A1" display="            სისხლდენის მართვა NOAC თერაპიაზე მყოფ პაციენტებში" xr:uid="{00000000-0004-0000-0000-000009000000}"/>
    <hyperlink ref="A46:N46" location="Surgery!A1" display="            NOAC და ქირურგიული ჩარვები" xr:uid="{00000000-0004-0000-0000-00000A000000}"/>
    <hyperlink ref="A48:N48" location="PCI!A1" display="            NOAC და კანგავლითი კორონარული ინტერვენცია" xr:uid="{00000000-0004-0000-0000-00000B000000}"/>
    <hyperlink ref="A50:N50" location="Cardioversion!A1" display="            NOAC და კარდიოვერსია" xr:uid="{00000000-0004-0000-0000-00000C000000}"/>
    <hyperlink ref="A52:N52" location="TIA!A1" display="            NOAC და იშემიური ინსულტი" xr:uid="{00000000-0004-0000-0000-00000D000000}"/>
    <hyperlink ref="A54:N54" location="BMI!A1" display="            NOAC თერაპია წონის დეფიციტის ან ჭარბწონიანობის შემთხვევაში" xr:uid="{00000000-0004-0000-0000-00000E000000}"/>
    <hyperlink ref="A56:N56" location="Plat!A1" display="            NOAC და თრომბოციტოპენია/NOAC და ონკოპათოლოგია" xr:uid="{00000000-0004-0000-0000-00000F000000}"/>
    <hyperlink ref="A58:N58" location="Warf!A1" display="            ვარფარინის დოზის კორექცია" xr:uid="{00000000-0004-0000-0000-000010000000}"/>
  </hyperlinks>
  <pageMargins left="0.7" right="0.7" top="0.75" bottom="0.75" header="0.3" footer="0.3"/>
  <pageSetup paperSize="9" orientation="landscape"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336550</xdr:colOff>
                    <xdr:row>22</xdr:row>
                    <xdr:rowOff>19050</xdr:rowOff>
                  </from>
                  <to>
                    <xdr:col>14</xdr:col>
                    <xdr:colOff>12700</xdr:colOff>
                    <xdr:row>23</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Worksheet____11"/>
  <dimension ref="A1:U30"/>
  <sheetViews>
    <sheetView workbookViewId="0">
      <selection activeCell="S25" sqref="S25"/>
    </sheetView>
  </sheetViews>
  <sheetFormatPr defaultColWidth="8.7265625" defaultRowHeight="14.5" x14ac:dyDescent="0.35"/>
  <cols>
    <col min="1" max="15" width="8.7265625" style="1"/>
    <col min="16" max="21" width="8.7265625" style="17"/>
    <col min="22" max="16384" width="8.7265625" style="1"/>
  </cols>
  <sheetData>
    <row r="1" spans="1:21" ht="14.5" customHeight="1" x14ac:dyDescent="0.35">
      <c r="A1" s="111" t="s">
        <v>299</v>
      </c>
      <c r="B1" s="111"/>
      <c r="C1" s="111"/>
      <c r="D1" s="111"/>
      <c r="E1" s="111"/>
      <c r="F1" s="111"/>
      <c r="G1" s="111"/>
      <c r="H1" s="111"/>
      <c r="I1" s="111"/>
      <c r="J1" s="111"/>
      <c r="K1" s="111"/>
      <c r="L1" s="111"/>
      <c r="M1" s="111"/>
      <c r="N1" s="111"/>
      <c r="O1" s="111"/>
    </row>
    <row r="2" spans="1:21" ht="14.5" customHeight="1" x14ac:dyDescent="0.35">
      <c r="A2" s="111"/>
      <c r="B2" s="111"/>
      <c r="C2" s="111"/>
      <c r="D2" s="111"/>
      <c r="E2" s="111"/>
      <c r="F2" s="111"/>
      <c r="G2" s="111"/>
      <c r="H2" s="111"/>
      <c r="I2" s="111"/>
      <c r="J2" s="111"/>
      <c r="K2" s="111"/>
      <c r="L2" s="111"/>
      <c r="M2" s="111"/>
      <c r="N2" s="111"/>
      <c r="O2" s="111"/>
    </row>
    <row r="3" spans="1:21" ht="14.5" customHeight="1" x14ac:dyDescent="0.35">
      <c r="A3" s="111"/>
      <c r="B3" s="111"/>
      <c r="C3" s="111"/>
      <c r="D3" s="111"/>
      <c r="E3" s="111"/>
      <c r="F3" s="111"/>
      <c r="G3" s="111"/>
      <c r="H3" s="111"/>
      <c r="I3" s="111"/>
      <c r="J3" s="111"/>
      <c r="K3" s="111"/>
      <c r="L3" s="111"/>
      <c r="M3" s="111"/>
      <c r="N3" s="111"/>
      <c r="O3" s="111"/>
    </row>
    <row r="5" spans="1:21" x14ac:dyDescent="0.35">
      <c r="A5" s="27" t="s">
        <v>303</v>
      </c>
    </row>
    <row r="6" spans="1:21" x14ac:dyDescent="0.35">
      <c r="B6" s="1" t="s">
        <v>300</v>
      </c>
      <c r="P6" s="39" t="b">
        <v>0</v>
      </c>
    </row>
    <row r="7" spans="1:21" x14ac:dyDescent="0.35">
      <c r="B7" s="1" t="s">
        <v>301</v>
      </c>
      <c r="P7" s="39" t="b">
        <v>0</v>
      </c>
    </row>
    <row r="8" spans="1:21" ht="14.5" customHeight="1" x14ac:dyDescent="0.35">
      <c r="B8" s="107" t="s">
        <v>302</v>
      </c>
      <c r="C8" s="107"/>
      <c r="D8" s="107"/>
      <c r="E8" s="107"/>
      <c r="F8" s="107"/>
      <c r="G8" s="107"/>
      <c r="H8" s="107"/>
      <c r="I8" s="107"/>
      <c r="J8" s="107"/>
      <c r="K8" s="107"/>
      <c r="P8" s="39" t="b">
        <v>0</v>
      </c>
    </row>
    <row r="9" spans="1:21" x14ac:dyDescent="0.35">
      <c r="B9" s="32"/>
      <c r="C9" s="32"/>
      <c r="D9" s="32"/>
      <c r="E9" s="32"/>
      <c r="F9" s="32"/>
      <c r="G9" s="32"/>
      <c r="H9" s="32"/>
      <c r="I9" s="32"/>
      <c r="J9" s="32"/>
      <c r="K9" s="32"/>
    </row>
    <row r="11" spans="1:21" ht="14.5" customHeight="1" x14ac:dyDescent="0.35">
      <c r="A11" s="107" t="str">
        <f>IF(P6,"პაციენტი მიეკუთვნება მაღალი რისკის ჯგუფს. ანტიკოაგულაცია არ არის ნაჩვენები. მიმართეთ ინსულტის პრევენციის სხვა სტრატეგიას.",IF(P7,"პაციენტი მიეკუთვნება მაღალი რისკის ჯგუფს. ანტიკოაგულაცია არ არის ნაჩვენები. მიმართეთ ინსულტის პრევენციის სხვა სტრატეგიას.",IF(P8,"პაციენტი მიეკუთვნება მაღალი რისკის ჯგუფს. ანტიკოაგულაცია არ არის ნაჩვენები. მიმართეთ ინსულტის პრევენციის სხვა სტრატეგიას.","გამოთვალეთ CHILD-POUGH ქულა")))</f>
        <v>გამოთვალეთ CHILD-POUGH ქულა</v>
      </c>
      <c r="B11" s="107"/>
      <c r="C11" s="107"/>
      <c r="D11" s="107"/>
      <c r="E11" s="107"/>
      <c r="F11" s="107"/>
      <c r="G11" s="107"/>
      <c r="H11" s="107"/>
      <c r="I11" s="107"/>
      <c r="J11" s="107"/>
      <c r="K11" s="107"/>
      <c r="L11" s="107"/>
      <c r="M11" s="107"/>
      <c r="N11" s="107"/>
      <c r="O11" s="107"/>
    </row>
    <row r="12" spans="1:21" x14ac:dyDescent="0.35">
      <c r="A12" s="107"/>
      <c r="B12" s="107"/>
      <c r="C12" s="107"/>
      <c r="D12" s="107"/>
      <c r="E12" s="107"/>
      <c r="F12" s="107"/>
      <c r="G12" s="107"/>
      <c r="H12" s="107"/>
      <c r="I12" s="107"/>
      <c r="J12" s="107"/>
      <c r="K12" s="107"/>
      <c r="L12" s="107"/>
      <c r="M12" s="107"/>
      <c r="N12" s="107"/>
      <c r="O12" s="107"/>
    </row>
    <row r="13" spans="1:21" x14ac:dyDescent="0.35">
      <c r="A13" s="105" t="str">
        <f>IF(A11="გამოთვალეთ CHILD-POUGH ქულა","ასციტი","")</f>
        <v>ასციტი</v>
      </c>
      <c r="B13" s="105"/>
      <c r="C13" s="11"/>
      <c r="D13" s="118" t="str">
        <f>IF(A11="გამოთვალეთ CHILD-POUGH ქულა","არ არის","")</f>
        <v>არ არის</v>
      </c>
      <c r="E13" s="118"/>
      <c r="F13" s="118"/>
      <c r="G13" s="33"/>
      <c r="H13" s="118" t="str">
        <f>IF(A11="გამოთვალეთ CHILD-POUGH ქულა","მსუბუქი","")</f>
        <v>მსუბუქი</v>
      </c>
      <c r="I13" s="118"/>
      <c r="J13" s="118"/>
      <c r="K13" s="34"/>
      <c r="L13" s="118" t="str">
        <f>IF(A11="გამოთვალეთ CHILD-POUGH ქულა","ზომიერი ან მეტი","")</f>
        <v>ზომიერი ან მეტი</v>
      </c>
      <c r="M13" s="118"/>
      <c r="N13" s="118"/>
      <c r="P13" s="39" t="b">
        <v>0</v>
      </c>
      <c r="Q13" s="39" t="b">
        <v>0</v>
      </c>
      <c r="R13" s="39" t="b">
        <v>0</v>
      </c>
      <c r="S13" s="17" t="str">
        <f>IF(P13,1,"")</f>
        <v/>
      </c>
      <c r="T13" s="17" t="str">
        <f>IF(Q13,2,"")</f>
        <v/>
      </c>
      <c r="U13" s="17" t="str">
        <f>IF(R13,3,"")</f>
        <v/>
      </c>
    </row>
    <row r="14" spans="1:21" x14ac:dyDescent="0.35">
      <c r="D14" s="34"/>
      <c r="E14" s="34"/>
      <c r="F14" s="34"/>
      <c r="G14" s="34"/>
      <c r="H14" s="34"/>
      <c r="I14" s="34"/>
      <c r="J14" s="34"/>
      <c r="K14" s="34"/>
      <c r="L14" s="35"/>
      <c r="M14" s="34"/>
      <c r="N14" s="34"/>
      <c r="P14" s="39"/>
      <c r="Q14" s="39"/>
      <c r="R14" s="39"/>
    </row>
    <row r="15" spans="1:21" x14ac:dyDescent="0.35">
      <c r="A15" s="105" t="str">
        <f>IF(A11="გამოთვალეთ CHILD-POUGH ქულა","ბილირუბინი","")</f>
        <v>ბილირუბინი</v>
      </c>
      <c r="B15" s="105"/>
      <c r="C15" s="5"/>
      <c r="D15" s="118" t="str">
        <f>IF(A11="გამოთვალეთ CHILD-POUGH ქულა","&lt;2 მგ/დლ (&lt;34.2 მკმოლ/ლ)","")</f>
        <v>&lt;2 მგ/დლ (&lt;34.2 მკმოლ/ლ)</v>
      </c>
      <c r="E15" s="118"/>
      <c r="F15" s="118"/>
      <c r="G15" s="36"/>
      <c r="H15" s="118" t="str">
        <f>IF(A11="გამოთვალეთ CHILD-POUGH ქულა","2-3 მგ/დლ (34.2-51.3 მკმოლ/ლ)","")</f>
        <v>2-3 მგ/დლ (34.2-51.3 მკმოლ/ლ)</v>
      </c>
      <c r="I15" s="118"/>
      <c r="J15" s="118"/>
      <c r="K15" s="34"/>
      <c r="L15" s="118" t="str">
        <f>IF(A11="გამოთვალეთ CHILD-POUGH ქულა","&gt;3 მგ/დლ (&gt;51.3 მკმოლ/ლ)","")</f>
        <v>&gt;3 მგ/დლ (&gt;51.3 მკმოლ/ლ)</v>
      </c>
      <c r="M15" s="118"/>
      <c r="N15" s="118"/>
      <c r="P15" s="39" t="b">
        <v>0</v>
      </c>
      <c r="Q15" s="39" t="b">
        <v>0</v>
      </c>
      <c r="R15" s="39" t="b">
        <v>0</v>
      </c>
      <c r="S15" s="17" t="str">
        <f>IF(P15,1,"")</f>
        <v/>
      </c>
      <c r="T15" s="17" t="str">
        <f>IF(Q15,2,"")</f>
        <v/>
      </c>
      <c r="U15" s="17" t="str">
        <f>IF(R15,3,"")</f>
        <v/>
      </c>
    </row>
    <row r="16" spans="1:21" x14ac:dyDescent="0.35">
      <c r="C16" s="5"/>
      <c r="D16" s="36"/>
      <c r="E16" s="34"/>
      <c r="F16" s="34"/>
      <c r="G16" s="34"/>
      <c r="H16" s="34"/>
      <c r="I16" s="34"/>
      <c r="J16" s="34"/>
      <c r="K16" s="34"/>
      <c r="L16" s="34"/>
      <c r="M16" s="34"/>
      <c r="N16" s="34"/>
      <c r="P16" s="39"/>
      <c r="Q16" s="39"/>
      <c r="R16" s="39"/>
    </row>
    <row r="17" spans="1:21" x14ac:dyDescent="0.35">
      <c r="A17" s="105" t="str">
        <f>IF(A11="გამოთვალეთ CHILD-POUGH ქულა","ალბუმინი","")</f>
        <v>ალბუმინი</v>
      </c>
      <c r="B17" s="105"/>
      <c r="D17" s="118" t="str">
        <f>IF(A11="გამოთვალეთ CHILD-POUGH ქულა","&gt;3.5 გ/დლ (35 გ/ლ)","")</f>
        <v>&gt;3.5 გ/დლ (35 გ/ლ)</v>
      </c>
      <c r="E17" s="118"/>
      <c r="F17" s="118"/>
      <c r="G17" s="34"/>
      <c r="H17" s="118" t="str">
        <f>IF(A11="გამოთვალეთ CHILD-POUGH ქულა","2.8-3.5 გ/დლ (28-35 გ/ლ)","")</f>
        <v>2.8-3.5 გ/დლ (28-35 გ/ლ)</v>
      </c>
      <c r="I17" s="118"/>
      <c r="J17" s="118"/>
      <c r="K17" s="34"/>
      <c r="L17" s="118" t="str">
        <f>IF(A11="გამოთვალეთ CHILD-POUGH ქულა","&lt;2.8 გ/დლ (&lt;28 გ/ლ)","")</f>
        <v>&lt;2.8 გ/დლ (&lt;28 გ/ლ)</v>
      </c>
      <c r="M17" s="118"/>
      <c r="N17" s="118"/>
      <c r="P17" s="39" t="b">
        <v>0</v>
      </c>
      <c r="Q17" s="39" t="b">
        <v>0</v>
      </c>
      <c r="R17" s="39" t="b">
        <v>0</v>
      </c>
      <c r="S17" s="17" t="str">
        <f>IF(P17,1,"")</f>
        <v/>
      </c>
      <c r="T17" s="17" t="str">
        <f>IF(Q17,2,"")</f>
        <v/>
      </c>
      <c r="U17" s="17" t="str">
        <f>IF(R17,3,"")</f>
        <v/>
      </c>
    </row>
    <row r="18" spans="1:21" x14ac:dyDescent="0.35">
      <c r="D18" s="34"/>
      <c r="E18" s="34"/>
      <c r="F18" s="34"/>
      <c r="G18" s="34"/>
      <c r="H18" s="34"/>
      <c r="I18" s="34"/>
      <c r="J18" s="34"/>
      <c r="K18" s="34"/>
      <c r="L18" s="34"/>
      <c r="M18" s="34"/>
      <c r="N18" s="34"/>
      <c r="P18" s="39"/>
      <c r="Q18" s="39"/>
      <c r="R18" s="39"/>
    </row>
    <row r="19" spans="1:21" x14ac:dyDescent="0.35">
      <c r="A19" s="105" t="str">
        <f>IF(A11="გამოთვალეთ CHILD-POUGH ქულა","INR","")</f>
        <v>INR</v>
      </c>
      <c r="B19" s="105"/>
      <c r="D19" s="118" t="str">
        <f>IF(A11="გამოთვალეთ CHILD-POUGH ქულა","&lt;1.7","")</f>
        <v>&lt;1.7</v>
      </c>
      <c r="E19" s="118"/>
      <c r="F19" s="118"/>
      <c r="G19" s="34"/>
      <c r="H19" s="118" t="str">
        <f>IF(A11="გამოთვალეთ CHILD-POUGH ქულა","1.7-2.3","")</f>
        <v>1.7-2.3</v>
      </c>
      <c r="I19" s="118"/>
      <c r="J19" s="118"/>
      <c r="K19" s="34"/>
      <c r="L19" s="118" t="str">
        <f>IF(A11="გამოთვალეთ CHILD-POUGH ქულა","&gt;2.3","")</f>
        <v>&gt;2.3</v>
      </c>
      <c r="M19" s="118"/>
      <c r="N19" s="118"/>
      <c r="P19" s="39" t="b">
        <v>0</v>
      </c>
      <c r="Q19" s="39" t="b">
        <v>0</v>
      </c>
      <c r="R19" s="39" t="b">
        <v>0</v>
      </c>
      <c r="S19" s="17" t="str">
        <f>IF(P19,1,"")</f>
        <v/>
      </c>
      <c r="T19" s="17" t="str">
        <f>IF(Q19,2,"")</f>
        <v/>
      </c>
      <c r="U19" s="17" t="str">
        <f>IF(R19,3,"")</f>
        <v/>
      </c>
    </row>
    <row r="20" spans="1:21" x14ac:dyDescent="0.35">
      <c r="D20" s="34"/>
      <c r="E20" s="34"/>
      <c r="F20" s="34"/>
      <c r="G20" s="34"/>
      <c r="H20" s="34"/>
      <c r="I20" s="34"/>
      <c r="J20" s="34"/>
      <c r="K20" s="34"/>
      <c r="L20" s="34"/>
      <c r="M20" s="34"/>
      <c r="N20" s="34"/>
      <c r="P20" s="39"/>
      <c r="Q20" s="39"/>
      <c r="R20" s="39"/>
    </row>
    <row r="21" spans="1:21" x14ac:dyDescent="0.35">
      <c r="A21" s="105" t="str">
        <f>IF(A11="გამოთვალეთ CHILD-POUGH ქულა","ენცეფალოპათია","")</f>
        <v>ენცეფალოპათია</v>
      </c>
      <c r="B21" s="105"/>
      <c r="D21" s="118" t="str">
        <f>IF(A11="გამოთვალეთ CHILD-POUGH ქულა","არ არის","")</f>
        <v>არ არის</v>
      </c>
      <c r="E21" s="118"/>
      <c r="F21" s="118"/>
      <c r="G21" s="34"/>
      <c r="H21" s="118" t="str">
        <f>IF(A11="გამოთვალეთ CHILD-POUGH ქულა","1-2 ხარისხი","")</f>
        <v>1-2 ხარისხი</v>
      </c>
      <c r="I21" s="118"/>
      <c r="J21" s="118"/>
      <c r="K21" s="34"/>
      <c r="L21" s="118" t="str">
        <f>IF(A11="გამოთვალეთ CHILD-POUGH ქულა","3-4 ხარისხი","")</f>
        <v>3-4 ხარისხი</v>
      </c>
      <c r="M21" s="118"/>
      <c r="N21" s="118"/>
      <c r="P21" s="39" t="b">
        <v>0</v>
      </c>
      <c r="Q21" s="39" t="b">
        <v>0</v>
      </c>
      <c r="R21" s="39" t="b">
        <v>0</v>
      </c>
      <c r="S21" s="17" t="str">
        <f>IF(P21,1,"")</f>
        <v/>
      </c>
      <c r="T21" s="17" t="str">
        <f>IF(Q21,2,"")</f>
        <v/>
      </c>
      <c r="U21" s="17" t="str">
        <f>IF(R21,3,"")</f>
        <v/>
      </c>
    </row>
    <row r="23" spans="1:21" x14ac:dyDescent="0.35">
      <c r="U23" s="17">
        <f>SUM(S13,S15,S17,S19,S21,T13,T15,T17,T19,T21,U13,U15,U17,U19,U21)</f>
        <v>0</v>
      </c>
    </row>
    <row r="24" spans="1:21" x14ac:dyDescent="0.35">
      <c r="A24" s="115" t="str">
        <f>IF(A11="გამოთვალეთ CHILD-POUGH ქულა","Child-Turcotte-Pugh ქულა","")</f>
        <v>Child-Turcotte-Pugh ქულა</v>
      </c>
      <c r="B24" s="115"/>
      <c r="C24" s="115"/>
      <c r="D24" s="37">
        <f>U23</f>
        <v>0</v>
      </c>
      <c r="I24" s="116" t="str">
        <f>IF(A11="გამოთვალეთ CHILD-POUGH ქულა","დაბიგატრანი","")</f>
        <v>დაბიგატრანი</v>
      </c>
      <c r="J24" s="116"/>
      <c r="K24" s="114" t="str">
        <f>IF(AND(A11="გამოთვალეთ CHILD-POUGH ქულა",D24&lt;7),"რეკომენდებული დოზით",IF(AND(A11="გამოთვალეთ CHILD-POUGH ქულა",D24=7),"სიფრთხილით!",IF(AND(A11="გამოთვალეთ CHILD-POUGH ქულა",D24=8),"სიფრთხილით!",IF(AND(A11="გამოთვალეთ CHILD-POUGH ქულა",D24=9),"სიფრთხილით!",IF(AND(A11="გამოთვალეთ CHILD-POUGH ქულა",D24&gt;9),"არ არის რეკომენდებული!","")))))</f>
        <v>რეკომენდებული დოზით</v>
      </c>
      <c r="L24" s="114"/>
      <c r="M24" s="114"/>
      <c r="N24" s="114"/>
    </row>
    <row r="25" spans="1:21" x14ac:dyDescent="0.35">
      <c r="I25" s="27"/>
      <c r="J25" s="27"/>
    </row>
    <row r="26" spans="1:21" x14ac:dyDescent="0.35">
      <c r="A26" s="116" t="str">
        <f>IF(A11="გამოთვალეთ CHILD-POUGH ქულა","Child-Pugh კლასი","")</f>
        <v>Child-Pugh კლასი</v>
      </c>
      <c r="B26" s="116"/>
      <c r="C26" s="38" t="str">
        <f>IF(D24=5,"A: კომპენსირებული დაავადება",IF(D24=6,"A: კომპენსირებული დაავადება",IF(D24=7,"B: მნიშვნელოვანი ფუნქციური დეკომპენსაცია",IF(D24=8,"B: მნიშვნელოვანი ფუნქციური დეკომპენსაცია",IF(D24=9,"B: მნიშვნელოვანი ფუნქციური დეკომპენსაცია",IF(D24=10,"C: მკვეთრი ფუნქციური დეკომპენსაცია",IF(D24=11,"C: მკვეთრი ფუნქციური დეკომპენსაცია",IF(D24=12,"C: მკვეთრი ფუნქციური დეკომპენსაცია",IF(D24=13,"C: მკვეთრი ფუნქციური დეკომპენსაცია",IF(D24=14,"C: მკვეთრი ფუნქციური დეკომპენსაცია",IF(D24=15,"C: მკვეთრი ფუნქციური დეკომპენსაცია","")))))))))))</f>
        <v/>
      </c>
      <c r="I26" s="116" t="str">
        <f>IF(A11="გამოთვალეთ CHILD-POUGH ქულა","აპიქსაბანი","")</f>
        <v>აპიქსაბანი</v>
      </c>
      <c r="J26" s="116"/>
      <c r="K26" s="114" t="str">
        <f>IF(AND(A11="გამოთვალეთ CHILD-POUGH ქულა",D24&lt;7),"რეკომენდებული დოზით",IF(AND(A11="გამოთვალეთ CHILD-POUGH ქულა",D24=7),"სიფრთხილით!",IF(AND(A11="გამოთვალეთ CHILD-POUGH ქულა",D24=8),"სიფრთხილით!",IF(AND(A11="გამოთვალეთ CHILD-POUGH ქულა",D24=9),"სიფრთხილით!",IF(AND(A11="გამოთვალეთ CHILD-POUGH ქულა",D24&gt;9),"არ არის რეკომენდებული!","")))))</f>
        <v>რეკომენდებული დოზით</v>
      </c>
      <c r="L26" s="114"/>
      <c r="M26" s="114"/>
      <c r="N26" s="114"/>
    </row>
    <row r="27" spans="1:21" x14ac:dyDescent="0.35">
      <c r="I27" s="27"/>
      <c r="J27" s="27"/>
    </row>
    <row r="28" spans="1:21" x14ac:dyDescent="0.35">
      <c r="A28" s="116" t="str">
        <f>IF(A11="გამოთვალეთ CHILD-POUGH ქულა","ერთწლიანი გადარჩენის მაჩვენებელი:","")</f>
        <v>ერთწლიანი გადარჩენის მაჩვენებელი:</v>
      </c>
      <c r="B28" s="116"/>
      <c r="C28" s="116"/>
      <c r="D28" s="116"/>
      <c r="E28" s="116"/>
      <c r="F28" s="1" t="str">
        <f>IF(D24=5,"100%",IF(D24=6,"100%",IF(D24=7,"80%",IF(D24=8,"80%",IF(D24=9,"80%",IF(D24=10,"45%",IF(D24=11,"45%",IF(D24=12,"45%",IF(D24=13,"45%",IF(D24=14,"45%",IF(D24=15,"45%","")))))))))))</f>
        <v/>
      </c>
      <c r="I28" s="117" t="str">
        <f>IF(A11="გამოთვალეთ CHILD-POUGH ქულა","ედოქსაბანი","")</f>
        <v>ედოქსაბანი</v>
      </c>
      <c r="J28" s="117"/>
      <c r="K28" s="114" t="str">
        <f>IF(AND(A11="გამოთვალეთ CHILD-POUGH ქულა",D24&lt;7),"რეკომენდებული დოზით",IF(AND(A11="გამოთვალეთ CHILD-POUGH ქულა",D24=7),"სიფრთხილით!",IF(AND(A11="გამოთვალეთ CHILD-POUGH ქულა",D24=8),"სიფრთხილით!",IF(AND(A11="გამოთვალეთ CHILD-POUGH ქულა",D24=9),"სიფრთხილით!",IF(AND(A11="გამოთვალეთ CHILD-POUGH ქულა",D24&gt;9),"არ არის რეკომენდებული!","")))))</f>
        <v>რეკომენდებული დოზით</v>
      </c>
      <c r="L28" s="114"/>
      <c r="M28" s="114"/>
      <c r="N28" s="114"/>
    </row>
    <row r="29" spans="1:21" x14ac:dyDescent="0.35">
      <c r="I29" s="27"/>
      <c r="J29" s="27"/>
    </row>
    <row r="30" spans="1:21" x14ac:dyDescent="0.35">
      <c r="A30" s="116" t="str">
        <f>IF(A11="გამოთვალეთ CHILD-POUGH ქულა","ორწლიანი გადარჩენის მაჩვენებელი:","")</f>
        <v>ორწლიანი გადარჩენის მაჩვენებელი:</v>
      </c>
      <c r="B30" s="116"/>
      <c r="C30" s="116"/>
      <c r="D30" s="116"/>
      <c r="E30" s="116"/>
      <c r="F30" s="1" t="str">
        <f>IF(D24=5,"85%",IF(D24=6,"85%",IF(D24=7,"60%",IF(D24=8,"60%",IF(D24=9,"60%",IF(D24=10,"35%",IF(D24=11,"35%",IF(D24=12,"35%",IF(D24=13,"35%",IF(D24=14,"35%",IF(D24=15,"35%","")))))))))))</f>
        <v/>
      </c>
      <c r="I30" s="116" t="str">
        <f>IF(A11="გამოთვალეთ CHILD-POUGH ქულა","რივაროქსაბანი","")</f>
        <v>რივაროქსაბანი</v>
      </c>
      <c r="J30" s="116"/>
      <c r="K30" s="114" t="str">
        <f>IF(AND(A11="გამოთვალეთ CHILD-POUGH ქულა",D24&lt;7),"რეკომენდებული დოზით",IF(AND(A11="გამოთვალეთ CHILD-POUGH ქულა",D24&gt;6),"არ არის რეკომენდებული!",""))</f>
        <v>რეკომენდებული დოზით</v>
      </c>
      <c r="L30" s="114"/>
      <c r="M30" s="114"/>
      <c r="N30" s="114"/>
    </row>
  </sheetData>
  <sheetProtection algorithmName="SHA-512" hashValue="u9fDZEtU1JwDoP/0rm6zFcwDfRXlUYxHqpHPrcYz7wlqKraskuNNqyZ2cxhAYirQ9FiWwG2Hvi1CkH4V12smnw==" saltValue="wjh6Bvr0UqKFTBKUTW5Y2A==" spinCount="100000" sheet="1" objects="1" scenarios="1"/>
  <mergeCells count="35">
    <mergeCell ref="B8:K8"/>
    <mergeCell ref="D13:F13"/>
    <mergeCell ref="A17:B17"/>
    <mergeCell ref="A19:B19"/>
    <mergeCell ref="A21:B21"/>
    <mergeCell ref="A13:B13"/>
    <mergeCell ref="A15:B15"/>
    <mergeCell ref="L19:N19"/>
    <mergeCell ref="D21:F21"/>
    <mergeCell ref="H21:J21"/>
    <mergeCell ref="L21:N21"/>
    <mergeCell ref="H13:J13"/>
    <mergeCell ref="L13:N13"/>
    <mergeCell ref="D15:F15"/>
    <mergeCell ref="H15:J15"/>
    <mergeCell ref="L15:N15"/>
    <mergeCell ref="D17:F17"/>
    <mergeCell ref="H17:J17"/>
    <mergeCell ref="L17:N17"/>
    <mergeCell ref="K26:N26"/>
    <mergeCell ref="K28:N28"/>
    <mergeCell ref="K30:N30"/>
    <mergeCell ref="A1:O3"/>
    <mergeCell ref="A24:C24"/>
    <mergeCell ref="A26:B26"/>
    <mergeCell ref="A28:E28"/>
    <mergeCell ref="A30:E30"/>
    <mergeCell ref="A11:O12"/>
    <mergeCell ref="I24:J24"/>
    <mergeCell ref="I26:J26"/>
    <mergeCell ref="I28:J28"/>
    <mergeCell ref="I30:J30"/>
    <mergeCell ref="K24:N24"/>
    <mergeCell ref="D19:F19"/>
    <mergeCell ref="H19:J19"/>
  </mergeCells>
  <conditionalFormatting sqref="A13:B21">
    <cfRule type="notContainsBlanks" dxfId="50" priority="18">
      <formula>LEN(TRIM(A13))&gt;0</formula>
    </cfRule>
  </conditionalFormatting>
  <conditionalFormatting sqref="D13:F13 H13:J13 L13:N13 L15:N15 H15:J15 D15:F15 D17:F17 H17:J17 L17:N17 L19:N19 H19:J19 D19:F19 D21:F21 H21:J21 L21:N21">
    <cfRule type="notContainsBlanks" dxfId="49" priority="10">
      <formula>LEN(TRIM(D13))&gt;0</formula>
    </cfRule>
  </conditionalFormatting>
  <conditionalFormatting sqref="D24">
    <cfRule type="cellIs" dxfId="48" priority="9" operator="equal">
      <formula>0</formula>
    </cfRule>
  </conditionalFormatting>
  <conditionalFormatting sqref="I24:J30">
    <cfRule type="notContainsBlanks" dxfId="47" priority="19">
      <formula>LEN(TRIM(I24))&gt;0</formula>
    </cfRule>
  </conditionalFormatting>
  <conditionalFormatting sqref="K24:N30">
    <cfRule type="notContainsBlanks" dxfId="46" priority="7">
      <formula>LEN(TRIM(K24))&gt;0</formula>
    </cfRule>
  </conditionalFormatting>
  <conditionalFormatting sqref="K24:N24">
    <cfRule type="containsText" dxfId="45" priority="6" operator="containsText" text="დოზით">
      <formula>NOT(ISERROR(SEARCH("დოზით",K24)))</formula>
    </cfRule>
  </conditionalFormatting>
  <conditionalFormatting sqref="K26:N26">
    <cfRule type="containsText" dxfId="44" priority="5" operator="containsText" text="დოზით">
      <formula>NOT(ISERROR(SEARCH("დოზით",K26)))</formula>
    </cfRule>
  </conditionalFormatting>
  <conditionalFormatting sqref="K28:N28">
    <cfRule type="containsText" dxfId="43" priority="4" operator="containsText" text="დოზით">
      <formula>NOT(ISERROR(SEARCH("დოზით",K28)))</formula>
    </cfRule>
  </conditionalFormatting>
  <conditionalFormatting sqref="K30:N30">
    <cfRule type="containsText" dxfId="42" priority="3" operator="containsText" text="დოზით">
      <formula>NOT(ISERROR(SEARCH("დოზით",K30)))</formula>
    </cfRule>
  </conditionalFormatting>
  <conditionalFormatting sqref="K24:N24 K26:N26 K28:N28 K30:N30">
    <cfRule type="containsText" dxfId="41" priority="1" operator="containsText" text="სიფრთხილით!">
      <formula>NOT(ISERROR(SEARCH("სიფრთხილით!",K24)))</formula>
    </cfRule>
    <cfRule type="containsText" dxfId="40" priority="2" operator="containsText" text="არ არის">
      <formula>NOT(ISERROR(SEARCH("არ არის",K24)))</formula>
    </cfRule>
  </conditionalFormatting>
  <hyperlinks>
    <hyperlink ref="A1:O3" location="Main!A1" display="NOAC-ები ღვიძლის დაავადებების მქონე პაციენტებში" xr:uid="{00000000-0004-0000-0900-000000000000}"/>
  </hyperlinks>
  <pageMargins left="0.7" right="0.7" top="0.75" bottom="0.75" header="0.3" footer="0.3"/>
  <pageSetup paperSize="9" orientation="landscape"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298450</xdr:colOff>
                    <xdr:row>4</xdr:row>
                    <xdr:rowOff>184150</xdr:rowOff>
                  </from>
                  <to>
                    <xdr:col>1</xdr:col>
                    <xdr:colOff>431800</xdr:colOff>
                    <xdr:row>6</xdr:row>
                    <xdr:rowOff>31750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298450</xdr:colOff>
                    <xdr:row>5</xdr:row>
                    <xdr:rowOff>184150</xdr:rowOff>
                  </from>
                  <to>
                    <xdr:col>1</xdr:col>
                    <xdr:colOff>431800</xdr:colOff>
                    <xdr:row>7</xdr:row>
                    <xdr:rowOff>31750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298450</xdr:colOff>
                    <xdr:row>6</xdr:row>
                    <xdr:rowOff>184150</xdr:rowOff>
                  </from>
                  <to>
                    <xdr:col>1</xdr:col>
                    <xdr:colOff>431800</xdr:colOff>
                    <xdr:row>8</xdr:row>
                    <xdr:rowOff>31750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412750</xdr:colOff>
                    <xdr:row>11</xdr:row>
                    <xdr:rowOff>165100</xdr:rowOff>
                  </from>
                  <to>
                    <xdr:col>2</xdr:col>
                    <xdr:colOff>603250</xdr:colOff>
                    <xdr:row>13</xdr:row>
                    <xdr:rowOff>19050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6</xdr:col>
                    <xdr:colOff>412750</xdr:colOff>
                    <xdr:row>11</xdr:row>
                    <xdr:rowOff>165100</xdr:rowOff>
                  </from>
                  <to>
                    <xdr:col>6</xdr:col>
                    <xdr:colOff>603250</xdr:colOff>
                    <xdr:row>13</xdr:row>
                    <xdr:rowOff>19050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10</xdr:col>
                    <xdr:colOff>412750</xdr:colOff>
                    <xdr:row>11</xdr:row>
                    <xdr:rowOff>165100</xdr:rowOff>
                  </from>
                  <to>
                    <xdr:col>10</xdr:col>
                    <xdr:colOff>603250</xdr:colOff>
                    <xdr:row>13</xdr:row>
                    <xdr:rowOff>19050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2</xdr:col>
                    <xdr:colOff>412750</xdr:colOff>
                    <xdr:row>13</xdr:row>
                    <xdr:rowOff>165100</xdr:rowOff>
                  </from>
                  <to>
                    <xdr:col>2</xdr:col>
                    <xdr:colOff>603250</xdr:colOff>
                    <xdr:row>15</xdr:row>
                    <xdr:rowOff>19050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6</xdr:col>
                    <xdr:colOff>412750</xdr:colOff>
                    <xdr:row>13</xdr:row>
                    <xdr:rowOff>165100</xdr:rowOff>
                  </from>
                  <to>
                    <xdr:col>6</xdr:col>
                    <xdr:colOff>603250</xdr:colOff>
                    <xdr:row>15</xdr:row>
                    <xdr:rowOff>19050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10</xdr:col>
                    <xdr:colOff>412750</xdr:colOff>
                    <xdr:row>13</xdr:row>
                    <xdr:rowOff>165100</xdr:rowOff>
                  </from>
                  <to>
                    <xdr:col>10</xdr:col>
                    <xdr:colOff>603250</xdr:colOff>
                    <xdr:row>15</xdr:row>
                    <xdr:rowOff>19050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2</xdr:col>
                    <xdr:colOff>419100</xdr:colOff>
                    <xdr:row>15</xdr:row>
                    <xdr:rowOff>165100</xdr:rowOff>
                  </from>
                  <to>
                    <xdr:col>3</xdr:col>
                    <xdr:colOff>0</xdr:colOff>
                    <xdr:row>17</xdr:row>
                    <xdr:rowOff>12700</xdr:rowOff>
                  </to>
                </anchor>
              </controlPr>
            </control>
          </mc:Choice>
        </mc:AlternateContent>
        <mc:AlternateContent xmlns:mc="http://schemas.openxmlformats.org/markup-compatibility/2006">
          <mc:Choice Requires="x14">
            <control shapeId="10255" r:id="rId14" name="Check Box 15">
              <controlPr defaultSize="0" autoFill="0" autoLine="0" autoPict="0">
                <anchor moveWithCells="1">
                  <from>
                    <xdr:col>6</xdr:col>
                    <xdr:colOff>419100</xdr:colOff>
                    <xdr:row>15</xdr:row>
                    <xdr:rowOff>165100</xdr:rowOff>
                  </from>
                  <to>
                    <xdr:col>7</xdr:col>
                    <xdr:colOff>0</xdr:colOff>
                    <xdr:row>17</xdr:row>
                    <xdr:rowOff>12700</xdr:rowOff>
                  </to>
                </anchor>
              </controlPr>
            </control>
          </mc:Choice>
        </mc:AlternateContent>
        <mc:AlternateContent xmlns:mc="http://schemas.openxmlformats.org/markup-compatibility/2006">
          <mc:Choice Requires="x14">
            <control shapeId="10256" r:id="rId15" name="Check Box 16">
              <controlPr defaultSize="0" autoFill="0" autoLine="0" autoPict="0">
                <anchor moveWithCells="1">
                  <from>
                    <xdr:col>10</xdr:col>
                    <xdr:colOff>419100</xdr:colOff>
                    <xdr:row>15</xdr:row>
                    <xdr:rowOff>165100</xdr:rowOff>
                  </from>
                  <to>
                    <xdr:col>11</xdr:col>
                    <xdr:colOff>0</xdr:colOff>
                    <xdr:row>17</xdr:row>
                    <xdr:rowOff>12700</xdr:rowOff>
                  </to>
                </anchor>
              </controlPr>
            </control>
          </mc:Choice>
        </mc:AlternateContent>
        <mc:AlternateContent xmlns:mc="http://schemas.openxmlformats.org/markup-compatibility/2006">
          <mc:Choice Requires="x14">
            <control shapeId="10257" r:id="rId16" name="Check Box 17">
              <controlPr defaultSize="0" autoFill="0" autoLine="0" autoPict="0">
                <anchor moveWithCells="1">
                  <from>
                    <xdr:col>2</xdr:col>
                    <xdr:colOff>419100</xdr:colOff>
                    <xdr:row>17</xdr:row>
                    <xdr:rowOff>165100</xdr:rowOff>
                  </from>
                  <to>
                    <xdr:col>3</xdr:col>
                    <xdr:colOff>0</xdr:colOff>
                    <xdr:row>19</xdr:row>
                    <xdr:rowOff>12700</xdr:rowOff>
                  </to>
                </anchor>
              </controlPr>
            </control>
          </mc:Choice>
        </mc:AlternateContent>
        <mc:AlternateContent xmlns:mc="http://schemas.openxmlformats.org/markup-compatibility/2006">
          <mc:Choice Requires="x14">
            <control shapeId="10258" r:id="rId17" name="Check Box 18">
              <controlPr defaultSize="0" autoFill="0" autoLine="0" autoPict="0">
                <anchor moveWithCells="1">
                  <from>
                    <xdr:col>6</xdr:col>
                    <xdr:colOff>419100</xdr:colOff>
                    <xdr:row>17</xdr:row>
                    <xdr:rowOff>165100</xdr:rowOff>
                  </from>
                  <to>
                    <xdr:col>7</xdr:col>
                    <xdr:colOff>0</xdr:colOff>
                    <xdr:row>19</xdr:row>
                    <xdr:rowOff>12700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10</xdr:col>
                    <xdr:colOff>419100</xdr:colOff>
                    <xdr:row>17</xdr:row>
                    <xdr:rowOff>165100</xdr:rowOff>
                  </from>
                  <to>
                    <xdr:col>11</xdr:col>
                    <xdr:colOff>0</xdr:colOff>
                    <xdr:row>19</xdr:row>
                    <xdr:rowOff>12700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2</xdr:col>
                    <xdr:colOff>419100</xdr:colOff>
                    <xdr:row>19</xdr:row>
                    <xdr:rowOff>165100</xdr:rowOff>
                  </from>
                  <to>
                    <xdr:col>3</xdr:col>
                    <xdr:colOff>0</xdr:colOff>
                    <xdr:row>21</xdr:row>
                    <xdr:rowOff>19050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6</xdr:col>
                    <xdr:colOff>419100</xdr:colOff>
                    <xdr:row>19</xdr:row>
                    <xdr:rowOff>165100</xdr:rowOff>
                  </from>
                  <to>
                    <xdr:col>7</xdr:col>
                    <xdr:colOff>0</xdr:colOff>
                    <xdr:row>21</xdr:row>
                    <xdr:rowOff>19050</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10</xdr:col>
                    <xdr:colOff>419100</xdr:colOff>
                    <xdr:row>19</xdr:row>
                    <xdr:rowOff>165100</xdr:rowOff>
                  </from>
                  <to>
                    <xdr:col>11</xdr:col>
                    <xdr:colOff>0</xdr:colOff>
                    <xdr:row>21</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Worksheet____12"/>
  <dimension ref="A1:N46"/>
  <sheetViews>
    <sheetView workbookViewId="0">
      <selection sqref="A1:J3"/>
    </sheetView>
  </sheetViews>
  <sheetFormatPr defaultColWidth="8.7265625" defaultRowHeight="14.5" x14ac:dyDescent="0.35"/>
  <cols>
    <col min="1" max="16384" width="8.7265625" style="1"/>
  </cols>
  <sheetData>
    <row r="1" spans="1:11" x14ac:dyDescent="0.35">
      <c r="A1" s="119" t="s">
        <v>305</v>
      </c>
      <c r="B1" s="119"/>
      <c r="C1" s="119"/>
      <c r="D1" s="119"/>
      <c r="E1" s="119"/>
      <c r="F1" s="119"/>
      <c r="G1" s="119"/>
      <c r="H1" s="119"/>
      <c r="I1" s="119"/>
      <c r="J1" s="119"/>
    </row>
    <row r="2" spans="1:11" x14ac:dyDescent="0.35">
      <c r="A2" s="119"/>
      <c r="B2" s="119"/>
      <c r="C2" s="119"/>
      <c r="D2" s="119"/>
      <c r="E2" s="119"/>
      <c r="F2" s="119"/>
      <c r="G2" s="119"/>
      <c r="H2" s="119"/>
      <c r="I2" s="119"/>
      <c r="J2" s="119"/>
    </row>
    <row r="3" spans="1:11" x14ac:dyDescent="0.35">
      <c r="A3" s="119"/>
      <c r="B3" s="119"/>
      <c r="C3" s="119"/>
      <c r="D3" s="119"/>
      <c r="E3" s="119"/>
      <c r="F3" s="119"/>
      <c r="G3" s="119"/>
      <c r="H3" s="119"/>
      <c r="I3" s="119"/>
      <c r="J3" s="119"/>
    </row>
    <row r="4" spans="1:11" x14ac:dyDescent="0.35">
      <c r="J4" s="13"/>
    </row>
    <row r="5" spans="1:11" x14ac:dyDescent="0.35">
      <c r="A5" s="27" t="s">
        <v>306</v>
      </c>
      <c r="J5" s="13">
        <v>1</v>
      </c>
      <c r="K5" s="17" t="s">
        <v>307</v>
      </c>
    </row>
    <row r="6" spans="1:11" x14ac:dyDescent="0.35">
      <c r="K6" s="17" t="s">
        <v>308</v>
      </c>
    </row>
    <row r="7" spans="1:11" x14ac:dyDescent="0.35">
      <c r="A7" s="40" t="str">
        <f>IF(J5=2,"გადაავადეთ ან შეაჩერეთ NOAC-ის მომდევნო დოზა","")</f>
        <v/>
      </c>
      <c r="K7" s="17" t="s">
        <v>309</v>
      </c>
    </row>
    <row r="8" spans="1:11" x14ac:dyDescent="0.35">
      <c r="A8" s="1" t="str">
        <f>IF(J5=4,"* დაბიგატრანის შემთხვევაში განიხილეთ იდარუციზუმაბის (5გ ინტრავენურად) გამოყენება","")</f>
        <v/>
      </c>
    </row>
    <row r="9" spans="1:11" x14ac:dyDescent="0.35">
      <c r="A9" s="1" t="str">
        <f>IF(J5=4,"* FXa ინჰიბიტორის შემთხვევაში განიხილეთ ანდექსანეტ ალფას გამოყენება","")</f>
        <v/>
      </c>
    </row>
    <row r="10" spans="1:11" x14ac:dyDescent="0.35">
      <c r="A10" s="40" t="str">
        <f>IF(J5=2,"შესაძლებელია მხარდამჭერი ღონისძიებები:",IF(J5=3,"მხარდამჭერი ღონისძიებები:",""))</f>
        <v/>
      </c>
    </row>
    <row r="11" spans="1:11" x14ac:dyDescent="0.35">
      <c r="A11" s="1" t="str">
        <f>IF(J5=2,"* მექანიკური კომპრესია",IF(J5=3,"* მექანიკური კომპრესია",IF(J5=4,"* პროთრომბინინს კომპლექსის კონცენტრატი 50 ერთ/კგ. ჩვენების შემთხვევაში +25 ერთ/კგ","")))</f>
        <v/>
      </c>
    </row>
    <row r="12" spans="1:11" x14ac:dyDescent="0.35">
      <c r="A12" s="1" t="str">
        <f>IF(J5=2,"* გასტროინტესტინური სისხლდენის შემთხვევაში, ენდოსკოპიური ჰემოსტაზი",IF(J5=3,"* გასტროინტესტინური სისხლდენის შემთხვევაში, ენდოსკოპიური ჰემოსტაზი",IF(J5=4,"* აქტივირებული პროთრომბინინს კომპლექსის კონცენტრატი 50 ერთ/კგ (მაქს. 200 ერთ/კგ/დღ)","")))</f>
        <v/>
      </c>
    </row>
    <row r="13" spans="1:11" x14ac:dyDescent="0.35">
      <c r="A13" s="1" t="str">
        <f>IF(J5=2,"* ქირურგიული ჰემოსტაზი",IF(J5=3,"* ქირურგიული ჰემოსტაზი",""))</f>
        <v/>
      </c>
    </row>
    <row r="14" spans="1:11" x14ac:dyDescent="0.35">
      <c r="A14" s="1" t="str">
        <f>IF(J5=2,"* სითხეების, ერითროციტების/თრომბოციტების გადასხმა",IF(J5=3,"* სითხეების, ერითროციტების/თრომბოციტების გადასხმა",""))</f>
        <v/>
      </c>
    </row>
    <row r="15" spans="1:11" x14ac:dyDescent="0.35">
      <c r="A15" s="1" t="str">
        <f>IF(J5=2,"* განიხილეთ ტრანექსამის მჟავას გადასხმა",IF(J5=3,"* განიხილეთ ტრანექსამის მჟავას გადასხმა",""))</f>
        <v/>
      </c>
    </row>
    <row r="16" spans="1:11" x14ac:dyDescent="0.35">
      <c r="A16" s="1" t="str">
        <f>IF(J5=2,"* სისხლდენის ხელშემწყობი ფაქტორების/კომორბიდობების მართვა",IF(J5=3,"* სისხლდენის ხელშემწყობი ფაქტორების/კომორბიდობების მართვა",""))</f>
        <v/>
      </c>
    </row>
    <row r="17" spans="1:10" x14ac:dyDescent="0.35">
      <c r="A17" s="103" t="str">
        <f>IF(J5=2,"* დაბიგატრანის შემთხვევაში განიხილეთ იდარუციზუმაბის (5გ ინტრავენურად) გამოყენება ან ჰემოდიალიზი (იდარუციზუმაბის არქონის შემთხვევაში)",IF(J5=3,"* დაბიგატრანის შემთხვევაში განიხილეთ იდარუციზუმაბის (5გ ინტრავენურად) გამოყენება ან ჰემოდიალიზი (იდარუციზუმაბის არქონის შემთხვევაში)",""))</f>
        <v/>
      </c>
      <c r="B17" s="103"/>
      <c r="C17" s="103"/>
      <c r="D17" s="103"/>
      <c r="E17" s="103"/>
      <c r="F17" s="103"/>
      <c r="G17" s="103"/>
      <c r="H17" s="103"/>
      <c r="I17" s="103"/>
      <c r="J17" s="103"/>
    </row>
    <row r="18" spans="1:10" x14ac:dyDescent="0.35">
      <c r="A18" s="103"/>
      <c r="B18" s="103"/>
      <c r="C18" s="103"/>
      <c r="D18" s="103"/>
      <c r="E18" s="103"/>
      <c r="F18" s="103"/>
      <c r="G18" s="103"/>
      <c r="H18" s="103"/>
      <c r="I18" s="103"/>
      <c r="J18" s="103"/>
    </row>
    <row r="19" spans="1:10" x14ac:dyDescent="0.35">
      <c r="A19" s="103" t="str">
        <f>IF(J5=2,"* Xa ფაქტორის ინჰიბიტორებით მკურნალობის შემთხვევაში განიხილეთ ადნექსანეტ ალფას გამოყენება",IF(J5=3,"* Xa ფაქტორის ინჰიბიტორებით მკურნალობის შემთხვევაში განიხილეთ ანდექსანეტ ალფას გამოყენება",""))</f>
        <v/>
      </c>
      <c r="B19" s="103"/>
      <c r="C19" s="103"/>
      <c r="D19" s="103"/>
      <c r="E19" s="103"/>
      <c r="F19" s="103"/>
      <c r="G19" s="103"/>
      <c r="H19" s="103"/>
      <c r="I19" s="103"/>
      <c r="J19" s="103"/>
    </row>
    <row r="20" spans="1:10" x14ac:dyDescent="0.35">
      <c r="A20" s="103"/>
      <c r="B20" s="103"/>
      <c r="C20" s="103"/>
      <c r="D20" s="103"/>
      <c r="E20" s="103"/>
      <c r="F20" s="103"/>
      <c r="G20" s="103"/>
      <c r="H20" s="103"/>
      <c r="I20" s="103"/>
      <c r="J20" s="103"/>
    </row>
    <row r="22" spans="1:10" x14ac:dyDescent="0.35">
      <c r="A22" s="40" t="str">
        <f>IF(J5=3,"შესაძლებელია დაემატოს:","")</f>
        <v/>
      </c>
    </row>
    <row r="23" spans="1:10" x14ac:dyDescent="0.35">
      <c r="A23" s="103" t="str">
        <f>IF(J5=3,"* პროთრომბინინს კომპლექსის კონცენტრატი 50 ერთ/კგ, ხოლო ჩვენების შემთხვევაში +25 ერთ/კგ","")</f>
        <v/>
      </c>
      <c r="B23" s="103"/>
      <c r="C23" s="103"/>
      <c r="D23" s="103"/>
      <c r="E23" s="103"/>
      <c r="F23" s="103"/>
      <c r="G23" s="103"/>
      <c r="H23" s="103"/>
      <c r="I23" s="103"/>
      <c r="J23" s="103"/>
    </row>
    <row r="24" spans="1:10" x14ac:dyDescent="0.35">
      <c r="A24" s="103"/>
      <c r="B24" s="103"/>
      <c r="C24" s="103"/>
      <c r="D24" s="103"/>
      <c r="E24" s="103"/>
      <c r="F24" s="103"/>
      <c r="G24" s="103"/>
      <c r="H24" s="103"/>
      <c r="I24" s="103"/>
      <c r="J24" s="103"/>
    </row>
    <row r="25" spans="1:10" x14ac:dyDescent="0.35">
      <c r="A25" s="103" t="str">
        <f>IF(J5=3,"* აქტივირებული პროთრომბინინს კომპლექსის კონცენტრატი 50 ერთ/კგ. მაქსიმალური დოზა 200 ერთ/კგ/დღ","")</f>
        <v/>
      </c>
      <c r="B25" s="103"/>
      <c r="C25" s="103"/>
      <c r="D25" s="103"/>
      <c r="E25" s="103"/>
      <c r="F25" s="103"/>
      <c r="G25" s="103"/>
      <c r="H25" s="103"/>
      <c r="I25" s="103"/>
      <c r="J25" s="103"/>
    </row>
    <row r="26" spans="1:10" x14ac:dyDescent="0.35">
      <c r="A26" s="103"/>
      <c r="B26" s="103"/>
      <c r="C26" s="103"/>
      <c r="D26" s="103"/>
      <c r="E26" s="103"/>
      <c r="F26" s="103"/>
      <c r="G26" s="103"/>
      <c r="H26" s="103"/>
      <c r="I26" s="103"/>
      <c r="J26" s="103"/>
    </row>
    <row r="28" spans="1:10" x14ac:dyDescent="0.35">
      <c r="A28" s="41" t="str">
        <f>IF(J5=2,"იდარუციზუმაბის გამოყენება",IF(J5=3,"იდარუციზუმაბის გამოყენება",IF(J5=4,"იდარუციზუმაბის გამოყენება","")))</f>
        <v/>
      </c>
    </row>
    <row r="29" spans="1:10" x14ac:dyDescent="0.35">
      <c r="A29" s="1" t="str">
        <f>IF(J5=2,"ორი თანმიმდევრული ინფუზია, თითო ჯერზე 2.5 მგ ინტრავენურად, 5-10 წთ-ის განმავლობაში",IF(J5=3,"ორი თანმიმდევრული ინფუზია, თითო ჯერზე 2.5 მგ ინტრავენურად, 5-10 წთ-ის განმავლობაში",IF(J5=4,"ორი თანმიმდევრული ინფუზია, თითო ჯერზე 2.5 მგ ინტრავენურად, 5-10 წთ-ის განმავლობაში","")))</f>
        <v/>
      </c>
    </row>
    <row r="31" spans="1:10" x14ac:dyDescent="0.35">
      <c r="A31" s="27" t="str">
        <f>IF(J5=2,"ანდექსანეტ ალფას გამოყენება",IF(J5=3,"ანდექსანეტ ალფას გამოყენება",IF(J5=4,"ანდექსანეტ ალფას გამოყენება","")))</f>
        <v/>
      </c>
    </row>
    <row r="32" spans="1:10" x14ac:dyDescent="0.35">
      <c r="A32" s="103" t="str">
        <f>IF(J5=2,"ინფუზია 2 საათის განმავლობაში. დოზა განისაზღვრება NOAC-ის ფორმულით, ბოლოს მიღებული დოზით და ბოლო მიღებიდან სისხლდენამდე გასული დროით",IF(J5=3,"ინფუზია 2 საათის განმავლობაში. დოზა განისაზღვრება NOAC-ის ფორმულით, ბოლოს მიღებული დოზით და ბოლო მიღებიდან სისხლდენამდე გასული დროით",IF(J5=4,"ინფუზია 2 საათის განმავლობაში. დოზა განისაზღვრება NOAC-ის ფორმულით, ბოლოს მიღებული დოზით და ბოლო მიღებიდან სისხლდენამდე გასული დროით","")))</f>
        <v/>
      </c>
      <c r="B32" s="103"/>
      <c r="C32" s="103"/>
      <c r="D32" s="103"/>
      <c r="E32" s="103"/>
      <c r="F32" s="103"/>
      <c r="G32" s="103"/>
      <c r="H32" s="103"/>
      <c r="I32" s="103"/>
      <c r="J32" s="103"/>
    </row>
    <row r="33" spans="1:14" x14ac:dyDescent="0.35">
      <c r="A33" s="103"/>
      <c r="B33" s="103"/>
      <c r="C33" s="103"/>
      <c r="D33" s="103"/>
      <c r="E33" s="103"/>
      <c r="F33" s="103"/>
      <c r="G33" s="103"/>
      <c r="H33" s="103"/>
      <c r="I33" s="103"/>
      <c r="J33" s="103"/>
    </row>
    <row r="34" spans="1:14" x14ac:dyDescent="0.35">
      <c r="A34" s="24"/>
      <c r="B34" s="24"/>
      <c r="C34" s="24"/>
      <c r="D34" s="24"/>
      <c r="E34" s="24"/>
      <c r="F34" s="24"/>
      <c r="G34" s="24"/>
      <c r="H34" s="24"/>
      <c r="I34" s="24"/>
      <c r="J34" s="24"/>
    </row>
    <row r="35" spans="1:14" x14ac:dyDescent="0.35">
      <c r="C35" s="114" t="str">
        <f>IF(J5=2,"ბოლო დოზა",IF(J5=3,"ბოლო დოზა",IF(J5=4,"ბოლო დოზა","")))</f>
        <v/>
      </c>
      <c r="D35" s="114"/>
      <c r="E35" s="114"/>
      <c r="F35" s="114" t="str">
        <f>IF(J5=2,"ბოლო დოზის მიღებიდან გასული დრო",IF(J5=3,"ბოლო დოზის მიღებიდან გასული დრო",IF(J5=4,"ბოლო დოზის მიღებიდან გასული დრო","")))</f>
        <v/>
      </c>
      <c r="G35" s="114"/>
      <c r="H35" s="114"/>
      <c r="I35" s="114"/>
      <c r="J35" s="114"/>
    </row>
    <row r="36" spans="1:14" x14ac:dyDescent="0.35">
      <c r="C36" s="31"/>
      <c r="D36" s="31"/>
      <c r="E36" s="31"/>
      <c r="F36" s="31"/>
      <c r="G36" s="31"/>
      <c r="H36" s="31"/>
      <c r="I36" s="31"/>
      <c r="J36" s="31"/>
    </row>
    <row r="37" spans="1:14" x14ac:dyDescent="0.35">
      <c r="A37" s="105" t="str">
        <f>IF(J5=2,"აპიქსაბანი",IF(J5=3,"აპიქსაბანი",IF(J5=4,"აპიქსაბანი","")))</f>
        <v/>
      </c>
      <c r="B37" s="105"/>
      <c r="C37" s="114" t="str">
        <f>IF(J5=2,"≤5 მგ ან &gt; 5 მგ",IF(J5=3,"≤5 მგ ან &gt;5",IF(J5=4,"≤5 მგ ან &gt;5","")))</f>
        <v/>
      </c>
      <c r="D37" s="114"/>
      <c r="E37" s="114"/>
      <c r="F37" s="114" t="str">
        <f>IF(J5=2,"&lt;8 სთ ან უცნობია",IF(J5=3,"&lt;8 სთ ან უცნობია",IF(J5=4,"&lt;8 სთ ან უცნობია","")))</f>
        <v/>
      </c>
      <c r="G37" s="114"/>
      <c r="H37" s="114"/>
      <c r="I37" s="114" t="str">
        <f>IF(J5=2,"≥8 სთ",IF(J5=3,"≥8 სთ",IF(J5=4,"≥8 სთ","")))</f>
        <v/>
      </c>
      <c r="J37" s="114"/>
      <c r="K37" s="39" t="b">
        <v>0</v>
      </c>
      <c r="L37" s="39" t="b">
        <v>0</v>
      </c>
      <c r="M37" s="39" t="b">
        <v>0</v>
      </c>
      <c r="N37" s="39" t="b">
        <v>0</v>
      </c>
    </row>
    <row r="38" spans="1:14" x14ac:dyDescent="0.35">
      <c r="K38" s="39"/>
      <c r="L38" s="39"/>
      <c r="M38" s="39"/>
      <c r="N38" s="39"/>
    </row>
    <row r="39" spans="1:14" x14ac:dyDescent="0.35">
      <c r="A39" s="105" t="str">
        <f>IF(J5=2,"რივაროქსაბანი",IF(J5=3,"რივაროქსაბანი",IF(J5=4,"რივაროქსაბანი","")))</f>
        <v/>
      </c>
      <c r="B39" s="105"/>
      <c r="C39" s="114" t="str">
        <f>IF(J5=2,"≤10 მგ ან &gt;10 მგ",IF(J5=3,"≤10 მგ ან &gt;10 მგ",IF(J5=4,"≤10 მგ ან &gt;10 მგ","")))</f>
        <v/>
      </c>
      <c r="D39" s="114"/>
      <c r="E39" s="114"/>
      <c r="F39" s="114" t="str">
        <f>IF(J5=2,"&lt;8 სთ ან უცნობია",IF(J5=3,"&lt;8 სთ ან უცნობია",IF(J5=4,"&lt;8 სთ ან უცნობია","")))</f>
        <v/>
      </c>
      <c r="G39" s="114"/>
      <c r="H39" s="114"/>
      <c r="I39" s="114" t="str">
        <f>IF(J5=2,"≥8 სთ",IF(J5=3,"≥8 სთ",IF(J5=4,"≥8 სთ","")))</f>
        <v/>
      </c>
      <c r="J39" s="114"/>
      <c r="K39" s="39" t="b">
        <v>0</v>
      </c>
      <c r="L39" s="39" t="b">
        <v>0</v>
      </c>
      <c r="M39" s="39" t="b">
        <v>0</v>
      </c>
      <c r="N39" s="39" t="b">
        <v>0</v>
      </c>
    </row>
    <row r="40" spans="1:14" x14ac:dyDescent="0.35">
      <c r="K40" s="39"/>
      <c r="L40" s="39"/>
      <c r="M40" s="39"/>
      <c r="N40" s="39"/>
    </row>
    <row r="41" spans="1:14" x14ac:dyDescent="0.35">
      <c r="A41" s="105" t="str">
        <f>IF(J5=2,"ედოქსაბანი",IF(J5=3,"ედოქსაბანი",IF(J5=4,"ედოქსაბანი","")))</f>
        <v/>
      </c>
      <c r="B41" s="105"/>
      <c r="C41" s="114" t="str">
        <f>IF(J5=2,"≤30 მგ ან &gt;30 მგ",IF(J5=3,"≤30 მგ ან &gt;30 მგ",IF(J5=4,"≤30 მგ ან &gt;30 მგ","")))</f>
        <v/>
      </c>
      <c r="D41" s="114"/>
      <c r="E41" s="114"/>
      <c r="F41" s="114" t="str">
        <f>IF(J5=2,"&lt;8 სთ ან უცნობია",IF(J5=3,"&lt;8 სთ ან უცნობია",IF(J5=4,"&lt;8 სთ ან უცნობია","")))</f>
        <v/>
      </c>
      <c r="G41" s="114"/>
      <c r="H41" s="114"/>
      <c r="I41" s="114" t="str">
        <f>IF(J5=2,"≥8 სთ",IF(J5=3,"≥8 სთ",IF(J5=4,"≥8 სთ","")))</f>
        <v/>
      </c>
      <c r="J41" s="114"/>
      <c r="K41" s="39" t="b">
        <v>0</v>
      </c>
      <c r="L41" s="39" t="b">
        <v>0</v>
      </c>
      <c r="M41" s="39" t="b">
        <v>0</v>
      </c>
      <c r="N41" s="39" t="b">
        <v>0</v>
      </c>
    </row>
    <row r="44" spans="1:14" x14ac:dyDescent="0.35">
      <c r="A44" s="27" t="str">
        <f>IF(AND(K37,L37),"დაბალი დოზით:",IF(AND(K37,M37),"დაბალი დოზით:",IF(AND(K39,L39),"დაბალი დოზით:",IF(AND(K39,M39),"დაბალი დოზით:",IF(AND(K41,L41),"დაბალი დოზით:",IF(AND(K41,M41),"დაბალი დოზით:",IF(AND(M37,N37),"დაბალი დოზით:",IF(AND(M39,N39),"დაბალი დოზით:",IF(AND(M41,N41),"დაბალი დოზით:",IF(AND(L37,N37),"მაღალი დოზით:",IF(AND(L39,N39),"მაღალი დოზით:",IF(AND(L41,N41),"მაღალი დოზით:",""))))))))))))</f>
        <v/>
      </c>
    </row>
    <row r="45" spans="1:14" x14ac:dyDescent="0.35">
      <c r="A45" s="1" t="str">
        <f>IF(AND(K37,L37),"* ბოლუსი: 400 მგ (30 მგ/წთ სიჩქარით)",IF(AND(K37,M37),"* ბოლუსი: 400 მგ (30 მგ/წთ სიჩქარით)",IF(AND(K39,L39),"* ბოლუსი: 400 მგ (30 მგ/წთ სიჩქარით)",IF(AND(K39,M39),"* ბოლუსი: 400 მგ (30 მგ/წთ სიჩქარით)",IF(AND(K41,L41),"* ბოლუსი: 400 მგ (30 მგ/წთ სიჩქარით)",IF(AND(K41,M41),"* ბოლუსი: 400 მგ (30 მგ/წთ სიჩქარით)",IF(AND(M37,N37),"* ბოლუსი: 400 მგ (30 მგ/წთ სიჩქარით)",IF(AND(M39,N39),"* ბოლუსი: 400 მგ (30 მგ/წთ სიჩქარით)",IF(AND(M41,N41),"* ბოლუსი: 400 მგ (30 მგ/წთ სიჩქარით)",IF(AND(L37,N37),"* ბოლუსი: 800 მგ (30 მგ/წთ სიჩქარით)",IF(AND(L39,N39),"* ბოლუსი: 800 მგ (30 მგ/წთ სიჩქარით)",IF(AND(L41,N41),"* ბოლუსი: 800 მგ (30 მგ/წთ სიჩქარით)",""))))))))))))</f>
        <v/>
      </c>
    </row>
    <row r="46" spans="1:14" x14ac:dyDescent="0.35">
      <c r="A46" s="1" t="str">
        <f>IF(AND(K37,L37),"* ინფუზია 4 მგ/სთ (=480 მგ)",IF(AND(K37,M37),"* ინფუზია 4 მგ/სთ (=480 მგ)",IF(AND(K39,L39),"* ინფუზია 4 მგ/სთ (=480 მგ)",IF(AND(K39,M39),"* ინფუზია 4 მგ/სთ (=480 მგ)",IF(AND(K41,L41),"* ინფუზია 4 მგ/სთ (=480 მგ)",IF(AND(K41,M41),"* ინფუზია 4 მგ/სთ (=480 მგ)",IF(AND(M37,N37),"* ინფუზია 4 მგ/სთ (=480 მგ)",IF(AND(M39,N39),"* ინფუზია 4 მგ/სთ (=480 მგ)",IF(AND(M41,N41),"* ინფუზია 4 მგ/სთ (=480 მგ)",IF(AND(L37,N37),"* ინფუზია 8 მგ/სთ (=960 მგ)",IF(AND(L39,N39),"* ინფუზია 8 მგ/სთ (=960 მგ)",IF(AND(L41,N41),"* ინფუზია 8 მგ/სთ (=960 მგ)",""))))))))))))</f>
        <v/>
      </c>
    </row>
  </sheetData>
  <sheetProtection algorithmName="SHA-512" hashValue="ycZyXIJki43hqs59WWLNd0nhyw7XlU1jz/fJyEP965H1V6ji3wCCD19vVz6s6QZdfo8u3SlMx0PJWqULhxYeFg==" saltValue="YAqHoUTbIgs0OkhP50P4XA==" spinCount="100000" sheet="1" objects="1" scenarios="1"/>
  <mergeCells count="20">
    <mergeCell ref="A32:J33"/>
    <mergeCell ref="F35:J35"/>
    <mergeCell ref="C35:E35"/>
    <mergeCell ref="C37:E37"/>
    <mergeCell ref="C39:E39"/>
    <mergeCell ref="I37:J37"/>
    <mergeCell ref="F37:H37"/>
    <mergeCell ref="F39:H39"/>
    <mergeCell ref="I39:J39"/>
    <mergeCell ref="A1:J3"/>
    <mergeCell ref="A17:J18"/>
    <mergeCell ref="A19:J20"/>
    <mergeCell ref="A23:J24"/>
    <mergeCell ref="A25:J26"/>
    <mergeCell ref="F41:H41"/>
    <mergeCell ref="I41:J41"/>
    <mergeCell ref="A37:B37"/>
    <mergeCell ref="A39:B39"/>
    <mergeCell ref="A41:B41"/>
    <mergeCell ref="C41:E41"/>
  </mergeCells>
  <conditionalFormatting sqref="A37:B41">
    <cfRule type="notContainsBlanks" dxfId="39" priority="6">
      <formula>LEN(TRIM(A37))&gt;0</formula>
    </cfRule>
  </conditionalFormatting>
  <conditionalFormatting sqref="C35:J36">
    <cfRule type="notContainsBlanks" dxfId="38" priority="5">
      <formula>LEN(TRIM(C35))&gt;0</formula>
    </cfRule>
  </conditionalFormatting>
  <conditionalFormatting sqref="C37:E41">
    <cfRule type="notContainsBlanks" dxfId="37" priority="2">
      <formula>LEN(TRIM(C37))&gt;0</formula>
    </cfRule>
  </conditionalFormatting>
  <conditionalFormatting sqref="F37:J41">
    <cfRule type="notContainsBlanks" dxfId="36" priority="1">
      <formula>LEN(TRIM(F37))&gt;0</formula>
    </cfRule>
  </conditionalFormatting>
  <hyperlinks>
    <hyperlink ref="A1:J3" location="Main!A1" display="სისხლდენის მართვა NOAC თერაპიაზე მყოფ პაციენტებში" xr:uid="{00000000-0004-0000-0A00-000000000000}"/>
  </hyperlinks>
  <pageMargins left="0.7" right="0.7" top="0.75" bottom="0.75" header="0.3" footer="0.3"/>
  <pageSetup paperSize="9" orientation="portrait"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3</xdr:col>
                    <xdr:colOff>69850</xdr:colOff>
                    <xdr:row>3</xdr:row>
                    <xdr:rowOff>171450</xdr:rowOff>
                  </from>
                  <to>
                    <xdr:col>9</xdr:col>
                    <xdr:colOff>603250</xdr:colOff>
                    <xdr:row>5</xdr:row>
                    <xdr:rowOff>31750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228600</xdr:colOff>
                    <xdr:row>35</xdr:row>
                    <xdr:rowOff>171450</xdr:rowOff>
                  </from>
                  <to>
                    <xdr:col>2</xdr:col>
                    <xdr:colOff>469900</xdr:colOff>
                    <xdr:row>37</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228600</xdr:colOff>
                    <xdr:row>37</xdr:row>
                    <xdr:rowOff>171450</xdr:rowOff>
                  </from>
                  <to>
                    <xdr:col>2</xdr:col>
                    <xdr:colOff>469900</xdr:colOff>
                    <xdr:row>39</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228600</xdr:colOff>
                    <xdr:row>39</xdr:row>
                    <xdr:rowOff>171450</xdr:rowOff>
                  </from>
                  <to>
                    <xdr:col>2</xdr:col>
                    <xdr:colOff>469900</xdr:colOff>
                    <xdr:row>41</xdr:row>
                    <xdr:rowOff>19050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5</xdr:col>
                    <xdr:colOff>146050</xdr:colOff>
                    <xdr:row>35</xdr:row>
                    <xdr:rowOff>184150</xdr:rowOff>
                  </from>
                  <to>
                    <xdr:col>7</xdr:col>
                    <xdr:colOff>361950</xdr:colOff>
                    <xdr:row>37</xdr:row>
                    <xdr:rowOff>19050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5</xdr:col>
                    <xdr:colOff>146050</xdr:colOff>
                    <xdr:row>37</xdr:row>
                    <xdr:rowOff>171450</xdr:rowOff>
                  </from>
                  <to>
                    <xdr:col>7</xdr:col>
                    <xdr:colOff>260350</xdr:colOff>
                    <xdr:row>39</xdr:row>
                    <xdr:rowOff>19050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5</xdr:col>
                    <xdr:colOff>146050</xdr:colOff>
                    <xdr:row>39</xdr:row>
                    <xdr:rowOff>165100</xdr:rowOff>
                  </from>
                  <to>
                    <xdr:col>7</xdr:col>
                    <xdr:colOff>298450</xdr:colOff>
                    <xdr:row>41</xdr:row>
                    <xdr:rowOff>19050</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8</xdr:col>
                    <xdr:colOff>203200</xdr:colOff>
                    <xdr:row>35</xdr:row>
                    <xdr:rowOff>171450</xdr:rowOff>
                  </from>
                  <to>
                    <xdr:col>9</xdr:col>
                    <xdr:colOff>336550</xdr:colOff>
                    <xdr:row>37</xdr:row>
                    <xdr:rowOff>19050</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8</xdr:col>
                    <xdr:colOff>203200</xdr:colOff>
                    <xdr:row>37</xdr:row>
                    <xdr:rowOff>171450</xdr:rowOff>
                  </from>
                  <to>
                    <xdr:col>9</xdr:col>
                    <xdr:colOff>336550</xdr:colOff>
                    <xdr:row>39</xdr:row>
                    <xdr:rowOff>19050</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8</xdr:col>
                    <xdr:colOff>203200</xdr:colOff>
                    <xdr:row>39</xdr:row>
                    <xdr:rowOff>171450</xdr:rowOff>
                  </from>
                  <to>
                    <xdr:col>9</xdr:col>
                    <xdr:colOff>336550</xdr:colOff>
                    <xdr:row>41</xdr:row>
                    <xdr:rowOff>19050</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4</xdr:col>
                    <xdr:colOff>184150</xdr:colOff>
                    <xdr:row>35</xdr:row>
                    <xdr:rowOff>171450</xdr:rowOff>
                  </from>
                  <to>
                    <xdr:col>4</xdr:col>
                    <xdr:colOff>431800</xdr:colOff>
                    <xdr:row>37</xdr:row>
                    <xdr:rowOff>19050</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4</xdr:col>
                    <xdr:colOff>184150</xdr:colOff>
                    <xdr:row>37</xdr:row>
                    <xdr:rowOff>171450</xdr:rowOff>
                  </from>
                  <to>
                    <xdr:col>4</xdr:col>
                    <xdr:colOff>431800</xdr:colOff>
                    <xdr:row>39</xdr:row>
                    <xdr:rowOff>19050</xdr:rowOff>
                  </to>
                </anchor>
              </controlPr>
            </control>
          </mc:Choice>
        </mc:AlternateContent>
        <mc:AlternateContent xmlns:mc="http://schemas.openxmlformats.org/markup-compatibility/2006">
          <mc:Choice Requires="x14">
            <control shapeId="11279" r:id="rId16" name="Check Box 15">
              <controlPr defaultSize="0" autoFill="0" autoLine="0" autoPict="0">
                <anchor moveWithCells="1">
                  <from>
                    <xdr:col>4</xdr:col>
                    <xdr:colOff>184150</xdr:colOff>
                    <xdr:row>39</xdr:row>
                    <xdr:rowOff>171450</xdr:rowOff>
                  </from>
                  <to>
                    <xdr:col>4</xdr:col>
                    <xdr:colOff>431800</xdr:colOff>
                    <xdr:row>41</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Worksheet____13"/>
  <dimension ref="A1:AN40"/>
  <sheetViews>
    <sheetView workbookViewId="0">
      <selection activeCell="K4" sqref="K4"/>
    </sheetView>
  </sheetViews>
  <sheetFormatPr defaultColWidth="8.7265625" defaultRowHeight="14.5" x14ac:dyDescent="0.35"/>
  <cols>
    <col min="1" max="30" width="8.7265625" style="1"/>
    <col min="31" max="40" width="8.7265625" style="17"/>
    <col min="41" max="16384" width="8.7265625" style="1"/>
  </cols>
  <sheetData>
    <row r="1" spans="1:38" x14ac:dyDescent="0.35">
      <c r="A1" s="135" t="s">
        <v>311</v>
      </c>
      <c r="B1" s="135"/>
      <c r="C1" s="135"/>
      <c r="D1" s="135"/>
      <c r="E1" s="135"/>
      <c r="F1" s="135"/>
      <c r="G1" s="135"/>
      <c r="H1" s="135"/>
      <c r="I1" s="135"/>
      <c r="J1" s="136"/>
      <c r="K1" s="119" t="s">
        <v>472</v>
      </c>
      <c r="L1" s="119"/>
      <c r="M1" s="119"/>
      <c r="N1" s="119"/>
      <c r="O1" s="119"/>
      <c r="P1" s="119"/>
      <c r="Q1" s="119"/>
      <c r="R1" s="119"/>
      <c r="S1" s="119"/>
      <c r="T1" s="119"/>
    </row>
    <row r="2" spans="1:38" x14ac:dyDescent="0.35">
      <c r="A2" s="135"/>
      <c r="B2" s="135"/>
      <c r="C2" s="135"/>
      <c r="D2" s="135"/>
      <c r="E2" s="135"/>
      <c r="F2" s="135"/>
      <c r="G2" s="135"/>
      <c r="H2" s="135"/>
      <c r="I2" s="135"/>
      <c r="J2" s="136"/>
      <c r="K2" s="119"/>
      <c r="L2" s="119"/>
      <c r="M2" s="119"/>
      <c r="N2" s="119"/>
      <c r="O2" s="119"/>
      <c r="P2" s="119"/>
      <c r="Q2" s="119"/>
      <c r="R2" s="119"/>
      <c r="S2" s="119"/>
      <c r="T2" s="119"/>
      <c r="AE2" s="17" t="s">
        <v>12</v>
      </c>
      <c r="AG2" s="17" t="s">
        <v>339</v>
      </c>
      <c r="AJ2" s="18" t="s">
        <v>342</v>
      </c>
      <c r="AL2" s="17" t="s">
        <v>347</v>
      </c>
    </row>
    <row r="3" spans="1:38" x14ac:dyDescent="0.35">
      <c r="A3" s="135"/>
      <c r="B3" s="135"/>
      <c r="C3" s="135"/>
      <c r="D3" s="135"/>
      <c r="E3" s="135"/>
      <c r="F3" s="135"/>
      <c r="G3" s="135"/>
      <c r="H3" s="135"/>
      <c r="I3" s="135"/>
      <c r="J3" s="136"/>
      <c r="K3" s="119"/>
      <c r="L3" s="119"/>
      <c r="M3" s="119"/>
      <c r="N3" s="119"/>
      <c r="O3" s="119"/>
      <c r="P3" s="119"/>
      <c r="Q3" s="119"/>
      <c r="R3" s="119"/>
      <c r="S3" s="119"/>
      <c r="T3" s="119"/>
      <c r="AE3" s="17" t="s">
        <v>352</v>
      </c>
      <c r="AG3" s="17" t="s">
        <v>341</v>
      </c>
      <c r="AJ3" s="17" t="s">
        <v>343</v>
      </c>
      <c r="AL3" s="17" t="s">
        <v>348</v>
      </c>
    </row>
    <row r="4" spans="1:38" x14ac:dyDescent="0.35">
      <c r="M4" s="13"/>
      <c r="Q4" s="13"/>
      <c r="AG4" s="17" t="s">
        <v>340</v>
      </c>
      <c r="AJ4" s="17" t="s">
        <v>344</v>
      </c>
      <c r="AL4" s="17" t="s">
        <v>349</v>
      </c>
    </row>
    <row r="5" spans="1:38" x14ac:dyDescent="0.35">
      <c r="A5" s="27" t="s">
        <v>471</v>
      </c>
      <c r="K5" s="27" t="s">
        <v>114</v>
      </c>
      <c r="M5" s="13">
        <v>1</v>
      </c>
      <c r="O5" s="149" t="s">
        <v>338</v>
      </c>
      <c r="P5" s="149"/>
      <c r="Q5" s="13">
        <v>1</v>
      </c>
      <c r="AJ5" s="17" t="s">
        <v>345</v>
      </c>
      <c r="AL5" s="17" t="s">
        <v>350</v>
      </c>
    </row>
    <row r="6" spans="1:38" x14ac:dyDescent="0.35">
      <c r="M6" s="13"/>
      <c r="AJ6" s="17" t="s">
        <v>346</v>
      </c>
      <c r="AL6" s="17" t="s">
        <v>351</v>
      </c>
    </row>
    <row r="7" spans="1:38" x14ac:dyDescent="0.35">
      <c r="A7" s="143" t="s">
        <v>323</v>
      </c>
      <c r="B7" s="144"/>
      <c r="C7" s="144"/>
      <c r="D7" s="144"/>
      <c r="E7" s="144"/>
      <c r="F7" s="144"/>
      <c r="G7" s="144"/>
      <c r="H7" s="144"/>
      <c r="I7" s="144"/>
      <c r="J7" s="145"/>
      <c r="K7" s="3" t="s">
        <v>337</v>
      </c>
      <c r="M7" s="13">
        <v>1</v>
      </c>
    </row>
    <row r="8" spans="1:38" x14ac:dyDescent="0.35">
      <c r="A8" s="146"/>
      <c r="B8" s="147"/>
      <c r="C8" s="147"/>
      <c r="D8" s="147"/>
      <c r="E8" s="147"/>
      <c r="F8" s="147"/>
      <c r="G8" s="147"/>
      <c r="H8" s="147"/>
      <c r="I8" s="147"/>
      <c r="J8" s="148"/>
    </row>
    <row r="9" spans="1:38" x14ac:dyDescent="0.35">
      <c r="A9" s="137" t="s">
        <v>312</v>
      </c>
      <c r="B9" s="138"/>
      <c r="C9" s="138"/>
      <c r="D9" s="138"/>
      <c r="E9" s="138"/>
      <c r="F9" s="138"/>
      <c r="G9" s="138"/>
      <c r="H9" s="138"/>
      <c r="I9" s="138"/>
      <c r="J9" s="139"/>
    </row>
    <row r="10" spans="1:38" x14ac:dyDescent="0.35">
      <c r="A10" s="140"/>
      <c r="B10" s="141"/>
      <c r="C10" s="141"/>
      <c r="D10" s="141"/>
      <c r="E10" s="141"/>
      <c r="F10" s="141"/>
      <c r="G10" s="141"/>
      <c r="H10" s="141"/>
      <c r="I10" s="141"/>
      <c r="J10" s="142"/>
      <c r="K10" s="3" t="str">
        <f>IF(N12="NOAC არ არის ნაჩვენები","","ბრიჯინგი LMWH/UFH:")</f>
        <v>ბრიჯინგი LMWH/UFH:</v>
      </c>
      <c r="N10" s="1" t="str">
        <f>IF(AND(M5=2,Q5=2,M7=1),"არ არის საჭირო",IF(AND(M5=2,Q5=2,M7=2),"არ არის საჭირო",IF(AND(M5=2,Q5=2,M7=3),"არ არის საჭირო",IF(AND(M5=2,Q5=2,M7=4),"არ არის საჭირო",IF(AND(M5=3,Q5=2,M7=1),"არ არის საჭირო",IF(AND(M5=3,Q5=2,M7=2),"არ არის საჭირო",IF(AND(M5=3,Q5=2,M7=3),"არ არის საჭირო",IF(AND(M5=3,Q5=2,M7=4),"არ არის საჭირო",IF(AND(M5=3,Q5=2,M7=5),"არ არის საჭირო",IF(AND(M5=2,Q5=3,M7=3),"არ არის საჭირო",IF(AND(M5=3,Q5=2,M7=1),"არ არის საჭირო",IF(AND(M5=4,Q5=2,M7=1),"არ არის საჭირო",IF(AND(M5=5,Q5=2,M7=1),"არ არის საჭირო",IF(AND(M5=2,Q5=3,M7=2),"არ არის საჭირო",IF(AND(M5=2,Q5=4,M7=2),"არ არის საჭირო",IF(AND(M5=2,Q5=4,M7=3),"არ არის საჭირო",IF(AND(M5=3,Q5=3,M7=2),"არ არის საჭირო",IF(AND(M5=3,Q5=3,M7=3),"არ არის საჭირო",IF(AND(M5=3,Q5=4,M7=3),"არ არის საჭირო",IF(AND(M5=3,Q5=3,M7=4),"არ არის საჭირო",IF(AND(M5=3,Q5=4,M7=4),"არ არის საჭირო",IF(AND(M5=3,Q5=3,M7=5),"არ არის საჭირო",IF(AND(M5=3,Q5=4,M7=5),"არ არის საჭირო","")))))))))))))))))))))))</f>
        <v/>
      </c>
    </row>
    <row r="11" spans="1:38" x14ac:dyDescent="0.35">
      <c r="A11" s="46" t="s">
        <v>313</v>
      </c>
      <c r="B11" s="42"/>
      <c r="C11" s="42"/>
      <c r="D11" s="42"/>
      <c r="E11" s="42"/>
      <c r="F11" s="42"/>
      <c r="G11" s="42"/>
      <c r="H11" s="42"/>
      <c r="I11" s="42"/>
      <c r="J11" s="47"/>
    </row>
    <row r="12" spans="1:38" x14ac:dyDescent="0.35">
      <c r="A12" s="46" t="s">
        <v>314</v>
      </c>
      <c r="B12" s="42"/>
      <c r="C12" s="42"/>
      <c r="D12" s="42"/>
      <c r="E12" s="42"/>
      <c r="F12" s="42"/>
      <c r="G12" s="42"/>
      <c r="H12" s="42"/>
      <c r="I12" s="42"/>
      <c r="J12" s="47"/>
      <c r="K12" s="3" t="str">
        <f>IF(N12="NOAC არ არის ნაჩვენები","","NOAC-ის შეწყვეტა:")</f>
        <v>NOAC-ის შეწყვეტა:</v>
      </c>
      <c r="N12" s="107" t="str">
        <f>IF(AND(M5=2,Q5=2,),"პროცედურა ტარდება NOAC-ის ბოლო დოზის მიღებიდან 12-24 საათში",IF(AND(M5=2,Q5=2,M7=1),"პროცედურა ტარდება NOAC-ის ბოლო დოზის მიღებიდან 12-24 საათში",IF(AND(M5=2,Q5=2,M7=2),"პროცედურა ტარდება NOAC-ის ბოლო დოზის მიღებიდან 12-24 საათში",IF(AND(M5=2,Q5=2,M7=3),"პროცედურა ტარდება NOAC-ის ბოლო დოზის მიღებიდან 12-24 საათში",IF(AND(M5=2,Q5=2,M7=4),"პროცედურა ტარდება NOAC-ის ბოლო დოზის მიღებიდან 12-24 საათში",IF(AND(M5=2,Q5=2,M7=5),"NOAC არ არის ნაჩვენები",IF(AND(M5=2,Q5=2,M7=6),"NOAC არ არის ნაჩვენები",IF(AND(M5=3,Q5=2,M7=0),"პროცედურა ტარდება NOAC-ის ბოლო დოზის მიღებიდან 12-24 საათში",IF(AND(M5=3,Q5=2,M7=1),"პროცედურა ტარდება NOAC-ის ბოლო დოზის მიღებიდან 12-24 საათში",IF(AND(M5=3,Q5=2,M7=2),"პროცედურა ტარდება NOAC-ის ბოლო დოზის მიღებიდან 12-24 საათში",IF(AND(M5=3,Q5=2,M7=3),"პროცედურა ტარდება NOAC-ის ბოლო დოზის მიღებიდან 12-24 საათში",IF(AND(M5=3,Q5=2,M7=4),"პროცედურა ტარდება NOAC-ის ბოლო დოზის მიღებიდან 12-24 საათში",IF(AND(M5=3,Q5=2,M7=5),"პროცედურა ტარდება NOAC-ის ბოლო დოზის მიღებიდან 12-24 საათში",IF(AND(M5=4,Q5=2),"პროცედურა ტარდება NOAC-ის ბოლო დოზის მიღებიდან 12-24 საათში",IF(AND(M5=5,Q5=2),"პროცედურა ტარდება NOAC-ის ბოლო დოზის მიღებიდან 12-24 საათში",IF(AND(M5=2,Q5=3,M7=2),"პროცედურა ტარდება NOAC-ის ბოლო დოზის მიღებიდან ≥24 საათში",IF(AND(M5=2,Q5=4,M7=2),"პროცედურა ტარდება NOAC-ის ბოლო დოზის მიღებიდან ≥48 საათში",IF(AND(M5=2,Q5=3,M7=3),"პროცედურა ტარდება NOAC-ის ბოლო დოზის მიღებიდან ≥36 საათში",IF(AND(M5=2,Q5=4,M7=3),"პროცედურა ტარდება NOAC-ის ბოლო დოზის მიღებიდან ≥72 საათში",IF(AND(M5=2,Q5=3,M7=4),"პროცედურა ტარდება NOAC-ის ბოლო დოზის მიღებიდან ≥48 საათში",IF(AND(M5=2,Q5=4,M7=4),"პროცედურა ტარდება NOAC-ის ბოლო დოზის მიღებიდან ≥96 საათში",IF(AND(M5=2,Q5=3,M7=5),"NOAC არ არის ნაჩვენები",IF(AND(M5=2,Q5=4,M7=5),"NOAC არ არის ნაჩვენები",IF(AND(M5=2,Q5=3,M7=6),"NOAC არ არის ნაჩვენები",IF(AND(M5=2,Q5=4,M7=6),"NOAC არ არის ნაჩვენები",IF(AND(M5=3,Q5=3,M7=2),"პროცედურა ტარდება NOAC-ის ბოლო დოზის მიღებიდან ≥24 საათში",IF(AND(M5=3,Q5=4,M7=2),"პროცედურა ტარდება NOAC-ის ბოლო დოზის მიღებიდან ≥48 საათში",IF(AND(M5=3,Q5=3,M7=3),"პროცედურა ტარდება NOAC-ის ბოლო დოზის მიღებიდან ≥24 საათში",IF(AND(M5=3,Q5=4,M7=3),"პროცედურა ტარდება NOAC-ის ბოლო დოზის მიღებიდან ≥48 საათში",IF(AND(M5=3,Q5=3,M7=4),"პროცედურა ტარდება NOAC-ის ბოლო დოზის მიღებიდან ≥24 საათში",IF(AND(M5=3,Q5=4,M7=4),"პროცედურა ტარდება NOAC-ის ბოლო დოზის მიღებიდან ≥48 საათში",IF(AND(M5=3,Q5=3,M7=5),"პროცედურა ტარდება NOAC-ის ბოლო დოზის მიღებიდან ≥36 საათში",IF(AND(M5=3,Q5=4,M7=5),"პროცედურა ტარდება NOAC-ის ბოლო დოზის მიღებიდან ≥48 საათში",IF(AND(M5=3,Q5=3,M7=6),"NOAC არ არის ნაჩვენები",IF(AND(M5=3,Q5=4,M7=6),"NOAC არ არის ნაჩვენები",IF(AND(M5=3,Q5=2,M7=6),"NOAC არ არის ნაჩვენები",""))))))))))))))))))))))))))))))))))))</f>
        <v/>
      </c>
      <c r="O12" s="107"/>
      <c r="P12" s="107"/>
      <c r="Q12" s="107"/>
      <c r="R12" s="107"/>
      <c r="S12" s="107"/>
      <c r="T12" s="107"/>
    </row>
    <row r="13" spans="1:38" x14ac:dyDescent="0.35">
      <c r="A13" s="132" t="s">
        <v>315</v>
      </c>
      <c r="B13" s="133"/>
      <c r="C13" s="133"/>
      <c r="D13" s="133"/>
      <c r="E13" s="133"/>
      <c r="F13" s="133"/>
      <c r="G13" s="133"/>
      <c r="H13" s="133"/>
      <c r="I13" s="133"/>
      <c r="J13" s="134"/>
      <c r="N13" s="107"/>
      <c r="O13" s="107"/>
      <c r="P13" s="107"/>
      <c r="Q13" s="107"/>
      <c r="R13" s="107"/>
      <c r="S13" s="107"/>
      <c r="T13" s="107"/>
    </row>
    <row r="14" spans="1:38" ht="15" customHeight="1" x14ac:dyDescent="0.35">
      <c r="A14" s="132"/>
      <c r="B14" s="133"/>
      <c r="C14" s="133"/>
      <c r="D14" s="133"/>
      <c r="E14" s="133"/>
      <c r="F14" s="133"/>
      <c r="G14" s="133"/>
      <c r="H14" s="133"/>
      <c r="I14" s="133"/>
      <c r="J14" s="134"/>
    </row>
    <row r="15" spans="1:38" x14ac:dyDescent="0.35">
      <c r="A15" s="46" t="s">
        <v>316</v>
      </c>
      <c r="B15" s="42"/>
      <c r="C15" s="42"/>
      <c r="D15" s="42"/>
      <c r="E15" s="42"/>
      <c r="F15" s="42"/>
      <c r="G15" s="42"/>
      <c r="H15" s="42"/>
      <c r="I15" s="42"/>
      <c r="J15" s="47"/>
    </row>
    <row r="16" spans="1:38" x14ac:dyDescent="0.35">
      <c r="A16" s="46" t="s">
        <v>317</v>
      </c>
      <c r="B16" s="42"/>
      <c r="C16" s="42"/>
      <c r="D16" s="42"/>
      <c r="E16" s="42"/>
      <c r="F16" s="42"/>
      <c r="G16" s="42"/>
      <c r="H16" s="42"/>
      <c r="I16" s="42"/>
      <c r="J16" s="47"/>
      <c r="K16" s="3" t="str">
        <f>IF(N12="NOAC არ არის ნაჩვენები","","NOAC-ის აღდგენა:")</f>
        <v>NOAC-ის აღდგენა:</v>
      </c>
      <c r="N16" s="107" t="str">
        <f>IF(AND(M5=2,Q5=2,M7=1),"NOAC-ის აღდგენა ხდება პროცედურის დღესვე (ჩარევიდან 6 სთ-ში) ან უკიდურეს შემთხვევაში, მომოდევნო დღეს",IF(AND(M5=2,Q5=2,M7=2),"NOAC-ის აღდგენა ხდება პროცედურის დღესვე (ჩარევიდან 6 სთ-ში) ან უკიდურეს შემთხვევაში, მომოდევნო დღეს",IF(AND(M5=2,Q5=2,M7=3),"NOAC-ის აღდგენა ხდება პროცედურის დღესვე (ჩარევიდან 6 სთ-ში) ან უკიდურეს შემთხვევაში, მომოდევნო დღეს",IF(AND(M5=4,Q5=2),"NOAC-ის აღდგენა ხდება პროცედურის დღესვე (ჩარევიდან 6 სთ-ში) ან უკიდურეს შემთხვევაში, მომოდევნო დღეს",IF(AND(M5=5,Q5=2),"NOAC-ის აღდგენა ხდება პროცედურის დღესვე (ჩარევიდან 6 სთ-ში) ან უკიდურეს შემთხვევაში, მომოდევნო დღეს",IF(AND(M5=2,Q5=3,M7=2),"NOAC-ის აღდგენა ხდება პროცედურიდან 24 საათში",IF(AND(M5=2,Q5=4,M7=2),"NOAC-ის აღდგენა ხდება პროცედურიდან 48-72 საათში",IF(AND(M5=3,Q5=2,M7=0),"NOAC-ის აღდგენა ხდება პროცედურიდან 48-72 საათში",IF(AND(M5=3,Q5=2,M7=1),"NOAC-ის აღდგენა ხდება პროცედურიდან 48-72 საათში",IF(AND(M5=3,Q5=2,M7=2),"NOAC-ის აღდგენა ხდება პროცედურიდან 48-72 საათში",IF(AND(M5=3,Q5=2,M7=3),"NOAC-ის აღდგენა ხდება პროცედურიდან 48-72 საათში",IF(AND(M5=3,Q5=2,M7=4),"NOAC-ის აღდგენა ხდება პროცედურიდან 48-72 საათში",IF(AND(M5=3,Q5=2,M7=5),"NOAC-ის აღდგენა ხდება პროცედურიდან 48-72 საათში",IF(AND(M5=5,Q5=2),"NOAC-ის აღდგენა ხდება პროცედურის დღესვე (ჩარევიდან 6 სთ-ში) ან უკიდურეს შემთხვევაში, მომოდევნო დღეს",IF(AND(M5=2,Q5=3,M7=3),"NOAC-ის აღდგენა ხდება პროცედურიდან 24 საათში",IF(AND(M5=2,Q5=4,M7=3),"NOAC-ის აღდგენა ხდება პროცედურიდან 48-72 საათში",IF(AND(M5=5,Q5=2),"NOAC-ის აღდგენა ხდება პროცედურის დღესვე (ჩარევიდან 6 სთ-ში) ან უკიდურეს შემთხვევაში, მომოდევნო დღეს",IF(AND(M5=2,Q5=3,M7=4),"NOAC-ის აღდგენა ხდება პროცედურიდან 24 საათში",IF(AND(M5=2,Q5=4,M7=4),"NOAC-ის აღდგენა ხდება პროცედურიდან 48-72 საათში",IF(AND(M5=3,Q5=3,M7=2),"NOAC-ის აღდგენა ხდება პროცედურიდან 24 საათში",IF(AND(M5=3,Q5=4,M7=2),"NOAC-ის აღდგენა ხდება პროცედურიდან 48-72 საათში",IF(AND(M5=3,Q5=3,M7=3),"NOAC-ის აღდგენა ხდება პროცედურიდან 24 საათში",IF(AND(M5=3,Q5=4,M7=3),"NOAC-ის აღდგენა ხდება პროცედურიდან 48-72 საათში",IF(AND(M5=3,Q5=3,M7=4),"NOAC-ის აღდგენა ხდება პროცედურიდან 24 საათში",IF(AND(M5=3,Q5=4,M7=4),"NOAC-ის აღდგენა ხდება პროცედურიდან 48-72 საათში",IF(AND(M5=3,Q5=3,M7=5),"NOAC-ის აღდგენა ხდება პროცედურიდან 24 საათში",IF(AND(M5=3,Q5=4,M7=5),"NOAC-ის აღდგენა ხდება პროცედურიდან 48-72 საათში",IF(AND(M5=2,Q5=2,M7=4),"NOAC-ის აღდგენა ხდება პროცედურის დღესვე (ჩარევიდან 6 სთ-ში) ან უკიდურეს შემთხვევაში, მომოდევნო დღეს",""))))))))))))))))))))))))))))</f>
        <v/>
      </c>
      <c r="O16" s="107"/>
      <c r="P16" s="107"/>
      <c r="Q16" s="107"/>
      <c r="R16" s="107"/>
      <c r="S16" s="107"/>
      <c r="T16" s="107"/>
    </row>
    <row r="17" spans="1:20" x14ac:dyDescent="0.35">
      <c r="A17" s="132" t="s">
        <v>318</v>
      </c>
      <c r="B17" s="133"/>
      <c r="C17" s="133"/>
      <c r="D17" s="133"/>
      <c r="E17" s="133"/>
      <c r="F17" s="133"/>
      <c r="G17" s="133"/>
      <c r="H17" s="133"/>
      <c r="I17" s="133"/>
      <c r="J17" s="134"/>
      <c r="K17" s="51"/>
      <c r="L17" s="51"/>
      <c r="M17" s="51"/>
      <c r="N17" s="107"/>
      <c r="O17" s="107"/>
      <c r="P17" s="107"/>
      <c r="Q17" s="107"/>
      <c r="R17" s="107"/>
      <c r="S17" s="107"/>
      <c r="T17" s="107"/>
    </row>
    <row r="18" spans="1:20" x14ac:dyDescent="0.35">
      <c r="A18" s="132"/>
      <c r="B18" s="133"/>
      <c r="C18" s="133"/>
      <c r="D18" s="133"/>
      <c r="E18" s="133"/>
      <c r="F18" s="133"/>
      <c r="G18" s="133"/>
      <c r="H18" s="133"/>
      <c r="I18" s="133"/>
      <c r="J18" s="134"/>
      <c r="K18" s="51"/>
      <c r="L18" s="51"/>
      <c r="M18" s="51"/>
      <c r="N18" s="51"/>
      <c r="O18" s="51"/>
      <c r="P18" s="51"/>
      <c r="Q18" s="51"/>
      <c r="R18" s="51"/>
      <c r="S18" s="51"/>
      <c r="T18" s="51"/>
    </row>
    <row r="19" spans="1:20" x14ac:dyDescent="0.35">
      <c r="A19" s="48" t="s">
        <v>319</v>
      </c>
      <c r="B19" s="49"/>
      <c r="C19" s="49"/>
      <c r="D19" s="49"/>
      <c r="E19" s="49"/>
      <c r="F19" s="49"/>
      <c r="G19" s="49"/>
      <c r="H19" s="49"/>
      <c r="I19" s="49"/>
      <c r="J19" s="50"/>
      <c r="K19" s="51"/>
      <c r="L19" s="51"/>
      <c r="M19" s="51"/>
      <c r="N19" s="51"/>
      <c r="O19" s="51"/>
      <c r="P19" s="51"/>
      <c r="Q19" s="51"/>
      <c r="R19" s="51"/>
      <c r="S19" s="51"/>
      <c r="T19" s="51"/>
    </row>
    <row r="20" spans="1:20" x14ac:dyDescent="0.35">
      <c r="A20" s="120" t="s">
        <v>324</v>
      </c>
      <c r="B20" s="121"/>
      <c r="C20" s="121"/>
      <c r="D20" s="121"/>
      <c r="E20" s="121"/>
      <c r="F20" s="121"/>
      <c r="G20" s="121"/>
      <c r="H20" s="121"/>
      <c r="I20" s="121"/>
      <c r="J20" s="122"/>
      <c r="K20" s="51"/>
      <c r="L20" s="51"/>
      <c r="M20" s="51"/>
      <c r="N20" s="51"/>
      <c r="O20" s="51"/>
      <c r="P20" s="51"/>
      <c r="Q20" s="51"/>
      <c r="R20" s="51"/>
      <c r="S20" s="51"/>
      <c r="T20" s="51"/>
    </row>
    <row r="21" spans="1:20" x14ac:dyDescent="0.35">
      <c r="A21" s="123"/>
      <c r="B21" s="124"/>
      <c r="C21" s="124"/>
      <c r="D21" s="124"/>
      <c r="E21" s="124"/>
      <c r="F21" s="124"/>
      <c r="G21" s="124"/>
      <c r="H21" s="124"/>
      <c r="I21" s="124"/>
      <c r="J21" s="125"/>
    </row>
    <row r="22" spans="1:20" x14ac:dyDescent="0.35">
      <c r="A22" s="43" t="s">
        <v>320</v>
      </c>
      <c r="B22" s="44"/>
      <c r="C22" s="44"/>
      <c r="D22" s="44"/>
      <c r="E22" s="44"/>
      <c r="F22" s="44"/>
      <c r="G22" s="44"/>
      <c r="H22" s="44"/>
      <c r="I22" s="44"/>
      <c r="J22" s="45"/>
    </row>
    <row r="23" spans="1:20" x14ac:dyDescent="0.35">
      <c r="A23" s="46" t="s">
        <v>321</v>
      </c>
      <c r="B23" s="42"/>
      <c r="C23" s="42"/>
      <c r="D23" s="42"/>
      <c r="E23" s="42"/>
      <c r="F23" s="42"/>
      <c r="G23" s="42"/>
      <c r="H23" s="42"/>
      <c r="I23" s="42"/>
      <c r="J23" s="47"/>
    </row>
    <row r="24" spans="1:20" x14ac:dyDescent="0.35">
      <c r="A24" s="48" t="s">
        <v>322</v>
      </c>
      <c r="B24" s="49"/>
      <c r="C24" s="49"/>
      <c r="D24" s="49"/>
      <c r="E24" s="49"/>
      <c r="F24" s="49"/>
      <c r="G24" s="49"/>
      <c r="H24" s="49"/>
      <c r="I24" s="49"/>
      <c r="J24" s="50"/>
    </row>
    <row r="25" spans="1:20" x14ac:dyDescent="0.35">
      <c r="A25" s="126" t="s">
        <v>325</v>
      </c>
      <c r="B25" s="127"/>
      <c r="C25" s="127"/>
      <c r="D25" s="127"/>
      <c r="E25" s="127"/>
      <c r="F25" s="127"/>
      <c r="G25" s="127"/>
      <c r="H25" s="127"/>
      <c r="I25" s="127"/>
      <c r="J25" s="128"/>
    </row>
    <row r="26" spans="1:20" x14ac:dyDescent="0.35">
      <c r="A26" s="129"/>
      <c r="B26" s="130"/>
      <c r="C26" s="130"/>
      <c r="D26" s="130"/>
      <c r="E26" s="130"/>
      <c r="F26" s="130"/>
      <c r="G26" s="130"/>
      <c r="H26" s="130"/>
      <c r="I26" s="130"/>
      <c r="J26" s="131"/>
    </row>
    <row r="27" spans="1:20" x14ac:dyDescent="0.35">
      <c r="A27" s="43" t="s">
        <v>326</v>
      </c>
      <c r="B27" s="44"/>
      <c r="C27" s="44"/>
      <c r="D27" s="44"/>
      <c r="E27" s="44"/>
      <c r="F27" s="44"/>
      <c r="G27" s="44"/>
      <c r="H27" s="44"/>
      <c r="I27" s="44"/>
      <c r="J27" s="45"/>
    </row>
    <row r="28" spans="1:20" x14ac:dyDescent="0.35">
      <c r="A28" s="132" t="s">
        <v>327</v>
      </c>
      <c r="B28" s="133"/>
      <c r="C28" s="133"/>
      <c r="D28" s="133"/>
      <c r="E28" s="133"/>
      <c r="F28" s="133"/>
      <c r="G28" s="133"/>
      <c r="H28" s="133"/>
      <c r="I28" s="133"/>
      <c r="J28" s="134"/>
    </row>
    <row r="29" spans="1:20" x14ac:dyDescent="0.35">
      <c r="A29" s="132"/>
      <c r="B29" s="133"/>
      <c r="C29" s="133"/>
      <c r="D29" s="133"/>
      <c r="E29" s="133"/>
      <c r="F29" s="133"/>
      <c r="G29" s="133"/>
      <c r="H29" s="133"/>
      <c r="I29" s="133"/>
      <c r="J29" s="134"/>
    </row>
    <row r="30" spans="1:20" x14ac:dyDescent="0.35">
      <c r="A30" s="132" t="s">
        <v>328</v>
      </c>
      <c r="B30" s="133"/>
      <c r="C30" s="133"/>
      <c r="D30" s="133"/>
      <c r="E30" s="133"/>
      <c r="F30" s="133"/>
      <c r="G30" s="133"/>
      <c r="H30" s="133"/>
      <c r="I30" s="133"/>
      <c r="J30" s="134"/>
    </row>
    <row r="31" spans="1:20" x14ac:dyDescent="0.35">
      <c r="A31" s="132"/>
      <c r="B31" s="133"/>
      <c r="C31" s="133"/>
      <c r="D31" s="133"/>
      <c r="E31" s="133"/>
      <c r="F31" s="133"/>
      <c r="G31" s="133"/>
      <c r="H31" s="133"/>
      <c r="I31" s="133"/>
      <c r="J31" s="134"/>
    </row>
    <row r="32" spans="1:20" x14ac:dyDescent="0.35">
      <c r="A32" s="46" t="s">
        <v>329</v>
      </c>
      <c r="B32" s="42"/>
      <c r="C32" s="42"/>
      <c r="D32" s="42"/>
      <c r="E32" s="42"/>
      <c r="F32" s="42"/>
      <c r="G32" s="42"/>
      <c r="H32" s="42"/>
      <c r="I32" s="42"/>
      <c r="J32" s="47"/>
    </row>
    <row r="33" spans="1:10" x14ac:dyDescent="0.35">
      <c r="A33" s="46" t="s">
        <v>330</v>
      </c>
      <c r="B33" s="42"/>
      <c r="C33" s="42"/>
      <c r="D33" s="42"/>
      <c r="E33" s="42"/>
      <c r="F33" s="42"/>
      <c r="G33" s="42"/>
      <c r="H33" s="42"/>
      <c r="I33" s="42"/>
      <c r="J33" s="47"/>
    </row>
    <row r="34" spans="1:10" x14ac:dyDescent="0.35">
      <c r="A34" s="132" t="s">
        <v>331</v>
      </c>
      <c r="B34" s="133"/>
      <c r="C34" s="133"/>
      <c r="D34" s="133"/>
      <c r="E34" s="133"/>
      <c r="F34" s="133"/>
      <c r="G34" s="133"/>
      <c r="H34" s="133"/>
      <c r="I34" s="133"/>
      <c r="J34" s="134"/>
    </row>
    <row r="35" spans="1:10" x14ac:dyDescent="0.35">
      <c r="A35" s="132"/>
      <c r="B35" s="133"/>
      <c r="C35" s="133"/>
      <c r="D35" s="133"/>
      <c r="E35" s="133"/>
      <c r="F35" s="133"/>
      <c r="G35" s="133"/>
      <c r="H35" s="133"/>
      <c r="I35" s="133"/>
      <c r="J35" s="134"/>
    </row>
    <row r="36" spans="1:10" x14ac:dyDescent="0.35">
      <c r="A36" s="46" t="s">
        <v>332</v>
      </c>
      <c r="B36" s="42"/>
      <c r="C36" s="42"/>
      <c r="D36" s="42"/>
      <c r="E36" s="42"/>
      <c r="F36" s="42"/>
      <c r="G36" s="42"/>
      <c r="H36" s="42"/>
      <c r="I36" s="42"/>
      <c r="J36" s="47"/>
    </row>
    <row r="37" spans="1:10" x14ac:dyDescent="0.35">
      <c r="A37" s="46" t="s">
        <v>333</v>
      </c>
      <c r="B37" s="42"/>
      <c r="C37" s="42"/>
      <c r="D37" s="42"/>
      <c r="E37" s="42"/>
      <c r="F37" s="42"/>
      <c r="G37" s="42"/>
      <c r="H37" s="42"/>
      <c r="I37" s="42"/>
      <c r="J37" s="47"/>
    </row>
    <row r="38" spans="1:10" x14ac:dyDescent="0.35">
      <c r="A38" s="46" t="s">
        <v>334</v>
      </c>
      <c r="B38" s="42"/>
      <c r="C38" s="42"/>
      <c r="D38" s="42"/>
      <c r="E38" s="42"/>
      <c r="F38" s="42"/>
      <c r="G38" s="42"/>
      <c r="H38" s="42"/>
      <c r="I38" s="42"/>
      <c r="J38" s="47"/>
    </row>
    <row r="39" spans="1:10" x14ac:dyDescent="0.35">
      <c r="A39" s="46" t="s">
        <v>335</v>
      </c>
      <c r="B39" s="42"/>
      <c r="C39" s="42"/>
      <c r="D39" s="42"/>
      <c r="E39" s="42"/>
      <c r="F39" s="42"/>
      <c r="G39" s="42"/>
      <c r="H39" s="42"/>
      <c r="I39" s="42"/>
      <c r="J39" s="47"/>
    </row>
    <row r="40" spans="1:10" x14ac:dyDescent="0.35">
      <c r="A40" s="48" t="s">
        <v>336</v>
      </c>
      <c r="B40" s="49"/>
      <c r="C40" s="49"/>
      <c r="D40" s="49"/>
      <c r="E40" s="49"/>
      <c r="F40" s="49"/>
      <c r="G40" s="49"/>
      <c r="H40" s="49"/>
      <c r="I40" s="49"/>
      <c r="J40" s="50"/>
    </row>
  </sheetData>
  <sheetProtection algorithmName="SHA-512" hashValue="YqZtMS3P7ur6YxrsTOifwZYCtbaXvHVo34PCby2WG+cwqduPAkW/Ag66XrxGV9DScEs9qiTAFeH6ymxrZyupyg==" saltValue="iGjxDv0WIOA9/Wt+Z1RwCg==" spinCount="100000" sheet="1" objects="1" scenarios="1"/>
  <mergeCells count="14">
    <mergeCell ref="K1:T3"/>
    <mergeCell ref="A1:J3"/>
    <mergeCell ref="A9:J10"/>
    <mergeCell ref="A13:J14"/>
    <mergeCell ref="A17:J18"/>
    <mergeCell ref="A7:J8"/>
    <mergeCell ref="O5:P5"/>
    <mergeCell ref="N12:T13"/>
    <mergeCell ref="N16:T17"/>
    <mergeCell ref="A20:J21"/>
    <mergeCell ref="A25:J26"/>
    <mergeCell ref="A28:J29"/>
    <mergeCell ref="A30:J31"/>
    <mergeCell ref="A34:J35"/>
  </mergeCells>
  <conditionalFormatting sqref="N12:T13">
    <cfRule type="containsText" dxfId="35" priority="1" operator="containsText" text="NOAC არ არის ნაჩვენები">
      <formula>NOT(ISERROR(SEARCH("NOAC არ არის ნაჩვენები",N12)))</formula>
    </cfRule>
  </conditionalFormatting>
  <hyperlinks>
    <hyperlink ref="A1:J3" location="Main!A1" display="NOAC-ები და ქირურგიული ჩარევები" xr:uid="{00000000-0004-0000-0B00-000000000000}"/>
    <hyperlink ref="K1:T3" location="Main!A1" display="NOAC-ები და ქირურგიული ჩარევები" xr:uid="{00000000-0004-0000-0B00-000001000000}"/>
  </hyperlinks>
  <pageMargins left="0.7" right="0.7" top="0.75" bottom="0.75" header="0.3" footer="0.3"/>
  <pageSetup paperSize="9" orientation="portrait"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10</xdr:col>
                    <xdr:colOff>571500</xdr:colOff>
                    <xdr:row>3</xdr:row>
                    <xdr:rowOff>165100</xdr:rowOff>
                  </from>
                  <to>
                    <xdr:col>13</xdr:col>
                    <xdr:colOff>527050</xdr:colOff>
                    <xdr:row>5</xdr:row>
                    <xdr:rowOff>19050</xdr:rowOff>
                  </to>
                </anchor>
              </controlPr>
            </control>
          </mc:Choice>
        </mc:AlternateContent>
        <mc:AlternateContent xmlns:mc="http://schemas.openxmlformats.org/markup-compatibility/2006">
          <mc:Choice Requires="x14">
            <control shapeId="12290" r:id="rId5" name="Drop Down 2">
              <controlPr defaultSize="0" autoLine="0" autoPict="0">
                <anchor moveWithCells="1">
                  <from>
                    <xdr:col>16</xdr:col>
                    <xdr:colOff>19050</xdr:colOff>
                    <xdr:row>3</xdr:row>
                    <xdr:rowOff>165100</xdr:rowOff>
                  </from>
                  <to>
                    <xdr:col>18</xdr:col>
                    <xdr:colOff>552450</xdr:colOff>
                    <xdr:row>5</xdr:row>
                    <xdr:rowOff>19050</xdr:rowOff>
                  </to>
                </anchor>
              </controlPr>
            </control>
          </mc:Choice>
        </mc:AlternateContent>
        <mc:AlternateContent xmlns:mc="http://schemas.openxmlformats.org/markup-compatibility/2006">
          <mc:Choice Requires="x14">
            <control shapeId="12291" r:id="rId6" name="Drop Down 3">
              <controlPr defaultSize="0" autoLine="0" autoPict="0">
                <anchor moveWithCells="1">
                  <from>
                    <xdr:col>10</xdr:col>
                    <xdr:colOff>571500</xdr:colOff>
                    <xdr:row>5</xdr:row>
                    <xdr:rowOff>171450</xdr:rowOff>
                  </from>
                  <to>
                    <xdr:col>13</xdr:col>
                    <xdr:colOff>527050</xdr:colOff>
                    <xdr:row>7</xdr:row>
                    <xdr:rowOff>31750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orksheet____14"/>
  <dimension ref="A1:BO47"/>
  <sheetViews>
    <sheetView workbookViewId="0">
      <selection activeCell="T35" sqref="T35"/>
    </sheetView>
  </sheetViews>
  <sheetFormatPr defaultColWidth="9.1796875" defaultRowHeight="14.5" x14ac:dyDescent="0.35"/>
  <cols>
    <col min="1" max="18" width="9.1796875" style="1"/>
    <col min="19" max="27" width="9.1796875" style="16"/>
    <col min="28" max="67" width="9.1796875" style="17"/>
    <col min="68" max="16384" width="9.1796875" style="1"/>
  </cols>
  <sheetData>
    <row r="1" spans="1:37" x14ac:dyDescent="0.35">
      <c r="A1" s="157" t="s">
        <v>466</v>
      </c>
      <c r="B1" s="157"/>
      <c r="C1" s="157"/>
      <c r="D1" s="157"/>
      <c r="E1" s="157"/>
      <c r="F1" s="157"/>
      <c r="G1" s="157"/>
      <c r="H1" s="157"/>
      <c r="I1" s="158"/>
      <c r="J1" s="152" t="s">
        <v>357</v>
      </c>
      <c r="K1" s="153"/>
      <c r="L1" s="153"/>
      <c r="M1" s="153"/>
      <c r="N1" s="153"/>
      <c r="O1" s="153"/>
      <c r="P1" s="153"/>
      <c r="Q1" s="153"/>
      <c r="R1" s="154"/>
      <c r="S1" s="151" t="s">
        <v>470</v>
      </c>
      <c r="T1" s="151"/>
      <c r="U1" s="151"/>
      <c r="V1" s="151"/>
      <c r="W1" s="151"/>
      <c r="X1" s="151"/>
      <c r="Y1" s="151"/>
      <c r="Z1" s="151"/>
      <c r="AA1" s="151"/>
    </row>
    <row r="2" spans="1:37" x14ac:dyDescent="0.35">
      <c r="A2" s="157"/>
      <c r="B2" s="157"/>
      <c r="C2" s="157"/>
      <c r="D2" s="157"/>
      <c r="E2" s="157"/>
      <c r="F2" s="157"/>
      <c r="G2" s="157"/>
      <c r="H2" s="157"/>
      <c r="I2" s="158"/>
      <c r="J2" s="155"/>
      <c r="K2" s="153"/>
      <c r="L2" s="153"/>
      <c r="M2" s="153"/>
      <c r="N2" s="153"/>
      <c r="O2" s="153"/>
      <c r="P2" s="153"/>
      <c r="Q2" s="153"/>
      <c r="R2" s="154"/>
      <c r="S2" s="151"/>
      <c r="T2" s="151"/>
      <c r="U2" s="151"/>
      <c r="V2" s="151"/>
      <c r="W2" s="151"/>
      <c r="X2" s="151"/>
      <c r="Y2" s="151"/>
      <c r="Z2" s="151"/>
      <c r="AA2" s="151"/>
      <c r="AB2" s="17" t="s">
        <v>469</v>
      </c>
    </row>
    <row r="3" spans="1:37" x14ac:dyDescent="0.35">
      <c r="A3" s="157"/>
      <c r="B3" s="157"/>
      <c r="C3" s="157"/>
      <c r="D3" s="157"/>
      <c r="E3" s="157"/>
      <c r="F3" s="157"/>
      <c r="G3" s="157"/>
      <c r="H3" s="157"/>
      <c r="I3" s="158"/>
      <c r="J3" s="155"/>
      <c r="K3" s="153"/>
      <c r="L3" s="153"/>
      <c r="M3" s="153"/>
      <c r="N3" s="153"/>
      <c r="O3" s="153"/>
      <c r="P3" s="153"/>
      <c r="Q3" s="153"/>
      <c r="R3" s="154"/>
      <c r="S3" s="151"/>
      <c r="T3" s="151"/>
      <c r="U3" s="151"/>
      <c r="V3" s="151"/>
      <c r="W3" s="151"/>
      <c r="X3" s="151"/>
      <c r="Y3" s="151"/>
      <c r="Z3" s="151"/>
      <c r="AA3" s="151"/>
      <c r="AB3" s="17" t="s">
        <v>353</v>
      </c>
    </row>
    <row r="4" spans="1:37" ht="12.75" customHeight="1" x14ac:dyDescent="0.35">
      <c r="I4" s="13"/>
      <c r="AA4" s="21"/>
    </row>
    <row r="5" spans="1:37" x14ac:dyDescent="0.35">
      <c r="A5" s="3" t="s">
        <v>354</v>
      </c>
      <c r="I5" s="13">
        <v>1</v>
      </c>
      <c r="J5" s="1" t="s">
        <v>281</v>
      </c>
      <c r="K5" s="30"/>
      <c r="L5" s="1" t="s">
        <v>367</v>
      </c>
      <c r="R5" s="17" t="str">
        <f>AC21</f>
        <v/>
      </c>
      <c r="S5" s="55" t="s">
        <v>354</v>
      </c>
      <c r="AA5" s="21">
        <v>1</v>
      </c>
      <c r="AB5" s="17" t="s">
        <v>355</v>
      </c>
    </row>
    <row r="6" spans="1:37" x14ac:dyDescent="0.35">
      <c r="R6" s="17"/>
      <c r="AB6" s="17" t="s">
        <v>356</v>
      </c>
    </row>
    <row r="7" spans="1:37" x14ac:dyDescent="0.35">
      <c r="A7" s="3" t="str">
        <f>IF(I5=2,"ყველა შემთხვევაში:",IF(I5=3,"ყველა შემთხვევაში:",""))</f>
        <v/>
      </c>
      <c r="J7" s="105" t="s">
        <v>366</v>
      </c>
      <c r="K7" s="105"/>
      <c r="L7" s="105"/>
      <c r="M7" s="30"/>
      <c r="N7" s="1" t="s">
        <v>368</v>
      </c>
      <c r="R7" s="17" t="str">
        <f>AD21</f>
        <v/>
      </c>
      <c r="S7" s="150" t="str">
        <f>IF(AA5=2,"NOAC-ის ბოლო დოზასა და ინტერვენციას შორის უნდა იყოს გასული ≥24 სთ",IF(AA5=3,"შეაჩერეთ NOAC,  ასპირინი დატვირთვის დოზით (150-300 მგ), STEMI-ის შემთხვევაში: P2Y12 ინჰიბიტორი დატვირთვის დოზით (არ გამოიყენოთ Non-STEMI-ის დროს)",""))</f>
        <v/>
      </c>
      <c r="T7" s="150"/>
      <c r="U7" s="150"/>
      <c r="V7" s="150"/>
      <c r="W7" s="150"/>
      <c r="X7" s="150"/>
      <c r="Y7" s="150"/>
      <c r="Z7" s="150"/>
      <c r="AA7" s="150"/>
    </row>
    <row r="8" spans="1:37" ht="15.5" x14ac:dyDescent="0.35">
      <c r="A8" s="103" t="str">
        <f>IF(I5=2,"* არ გამოიყენოთ მეტალის დაუფარავი სტენტი/პირველი თაობის წამლით დაფარული სტენტი",IF(I5=3,"* არ გამოიყენოთ მეტალის დაუფარავი სტენტი/პირველი თაობის წამლით დაფარული სტენტი",""))</f>
        <v/>
      </c>
      <c r="B8" s="103"/>
      <c r="C8" s="103"/>
      <c r="D8" s="103"/>
      <c r="E8" s="103"/>
      <c r="F8" s="103"/>
      <c r="G8" s="103"/>
      <c r="H8" s="103"/>
      <c r="I8" s="103"/>
      <c r="R8" s="17"/>
      <c r="S8" s="150"/>
      <c r="T8" s="150"/>
      <c r="U8" s="150"/>
      <c r="V8" s="150"/>
      <c r="W8" s="150"/>
      <c r="X8" s="150"/>
      <c r="Y8" s="150"/>
      <c r="Z8" s="150"/>
      <c r="AA8" s="150"/>
      <c r="AB8" s="57" t="s">
        <v>358</v>
      </c>
      <c r="AC8" s="17">
        <v>0</v>
      </c>
      <c r="AE8" s="17" t="str">
        <f>IF(AND(M7&gt;0,M7&lt;50),0,IF(AND(M7&gt;49,M7&lt;60),(M7-50)*0.3,IF(AND(M7&gt;59,M7&lt;70),3+(M7-60)*(2/10),IF(AND(M7&gt;69,M7&lt;80),5+(M7-70)*(3/10),IF(AND(M7&gt;79,M7&lt;90),8+(M7-80)*(3/10),IF(AND(M7&gt;89,M7&lt;100),11+(M7-90)*(3/10),IF(AND(M7&gt;99,M7&lt;110),14+(M7-100)*(2/10),IF(AND(M7&gt;109,M7&lt;150),16+(M7-110)*(3/10),IF(AND(M7&gt;149,M7&lt;200),28+(M7-150)*0.26,IF(M7&gt;199,41,""))))))))))</f>
        <v/>
      </c>
      <c r="AG8" s="17" t="str">
        <f>IF(AND(M9&gt;0,M9&lt;80),53,IF(AND(M9&gt;79,M9&lt;100),53 - (M9-80)*0.4,IF(AND(M9&gt;99,M9&lt;110),45 - (M9-100)*(5/10),IF(AND(M9&gt;109,M9&lt;120),40 - (M9-110)*(5/10),IF(AND(M9&gt;119,M9&lt;130),35 - (M9-120)*(4/10),IF(AND(M9&gt;129,M9&lt;140),31 - (M9-130)*(5/10),IF(AND(M9&gt;139,M9&lt;150),26 - (M9-140)*(4/10),IF(AND(M9&gt;149,M9&lt;160),22 - (M9-150)*(5/10),IF(AND(M9&gt;159,M9&lt;180),17 - (M9-160)*0.4,IF(AND(M9&gt;179,M9&lt;200),9 - (M9-180)*0.45,IF(M9&gt;199,0,"")))))))))))</f>
        <v/>
      </c>
      <c r="AI8" s="17">
        <f>IF(M11&lt;0.2,(M11-0)*(1/0.2),IF(AND(M11&gt;0.19,M11&lt;0.4),1+(M11-0.2)*(2/0.2),IF(AND(M11&gt;0.39,M11&lt;0.6),3+(M11-0.4)*(1/0.2),IF(AND(M11&gt;0.59,M11&lt;0.8),4+(M11-0.6)*(2/0.2),IF(AND(M11&gt;0.79,M11&lt;1),6+(M11-0.8)*(1/0.2),IF(AND(M11&gt;0.99,M11&lt;1.2),7+(M11-1)*(1/0.2),IF(AND(M11&gt;1.19,M11&lt;1.4),8+(M11-1.2)*(2/0.2),IF(AND(M11&gt;1.39,M11&lt;1.6),10+(M11-1.4)*(1/0.2),IF(AND(M11&gt;1.59,M11&lt;1.8),11+(M11-1.6)*(2/0.2),IF(AND(M11&gt;1.79,M11&lt;2),13+(M11-1.8)*(1/0.2),IF(AND(M11&gt;1.99,M11&lt;3),14+(M11-2)*(7/1),IF(AND(M11&gt;2.99,M11&lt;4),21+(M11-3)*(7/1),IF(M11&gt;3.99,28,"")))))))))))))</f>
        <v>0</v>
      </c>
      <c r="AK8" s="17" t="s">
        <v>372</v>
      </c>
    </row>
    <row r="9" spans="1:37" ht="15.5" x14ac:dyDescent="0.35">
      <c r="A9" s="103"/>
      <c r="B9" s="103"/>
      <c r="C9" s="103"/>
      <c r="D9" s="103"/>
      <c r="E9" s="103"/>
      <c r="F9" s="103"/>
      <c r="G9" s="103"/>
      <c r="H9" s="103"/>
      <c r="I9" s="103"/>
      <c r="J9" s="1" t="s">
        <v>369</v>
      </c>
      <c r="L9" s="52"/>
      <c r="M9" s="30"/>
      <c r="N9" s="1" t="s">
        <v>370</v>
      </c>
      <c r="R9" s="17" t="str">
        <f>AE21</f>
        <v/>
      </c>
      <c r="S9" s="56" t="str">
        <f>IF(AA5=2,"პერიპროცედურული ანტიკოაგულაცია ლოკალური პროტოკოლის შესაბამისად:",IF(AA5=3,"არაურგენტული NON-STEMI:",""))</f>
        <v/>
      </c>
      <c r="AB9" s="57" t="s">
        <v>359</v>
      </c>
      <c r="AC9" s="17" t="str">
        <f>IF(AND(K5&gt;0,K5&lt;35),0,IF(AND(K5&gt;29,K5&lt;40),(K5-30)*1.3,IF(AND(K5&gt;39,K5&lt;50),(K5-40)*1.4+13,IF(AND(K5&gt;49,K5&lt;60),(K5-50)*1.3+27,IF(AND(K5&gt;59,K5&lt;70),(K5-60)*1.4+40,IF(AND(K5&gt;69,K5&lt;80),(K5-70)*1.3+54,IF(AND(K5&gt;79,K5&lt;90),(K5-80)*1.3+67,IF(K5&gt;89,80,""))))))))</f>
        <v/>
      </c>
      <c r="AK9" s="17" t="s">
        <v>373</v>
      </c>
    </row>
    <row r="10" spans="1:37" ht="15.5" x14ac:dyDescent="0.35">
      <c r="A10" s="103" t="str">
        <f>IF(I5=2,"* ორმაგი/სამმაგი თერაპიის შემთხვევაში გამოიყენეთ პროტონული ტუმბოს ინჰიბიტორი",IF(I5=3,"* ორმაგი/სამმაგი თერაპიის შემთხვევაში გამოიყენეთ პროტონული ტუმბოს ინჰიბიტორი",""))</f>
        <v/>
      </c>
      <c r="B10" s="103"/>
      <c r="C10" s="103"/>
      <c r="D10" s="103"/>
      <c r="E10" s="103"/>
      <c r="F10" s="103"/>
      <c r="G10" s="103"/>
      <c r="H10" s="103"/>
      <c r="I10" s="103"/>
      <c r="R10" s="17"/>
      <c r="S10" s="16" t="str">
        <f>IF(AA5=2,"* არაფრაქციული ჰეპარინი",IF(AA5=3,"* დააყოვნეთ კანგავლითი კორონარული ინტერვენცია",""))</f>
        <v/>
      </c>
      <c r="AB10" s="57" t="s">
        <v>360</v>
      </c>
      <c r="AK10" s="17" t="s">
        <v>374</v>
      </c>
    </row>
    <row r="11" spans="1:37" ht="15.5" x14ac:dyDescent="0.35">
      <c r="A11" s="103"/>
      <c r="B11" s="103"/>
      <c r="C11" s="103"/>
      <c r="D11" s="103"/>
      <c r="E11" s="103"/>
      <c r="F11" s="103"/>
      <c r="G11" s="103"/>
      <c r="H11" s="103"/>
      <c r="I11" s="103"/>
      <c r="J11" s="1" t="s">
        <v>286</v>
      </c>
      <c r="M11" s="30"/>
      <c r="N11" s="1" t="s">
        <v>287</v>
      </c>
      <c r="R11" s="17" t="str">
        <f>AF21</f>
        <v/>
      </c>
      <c r="S11" s="16" t="str">
        <f>IF(AA5=2,"* ბივალირუდინი",IF(AA5=3,"* არ გამოიყენოთ ბივალირუდინი, არაფრაქციული ჰეპარინი ან IIb/IIIa ინჰიბიტორი",""))</f>
        <v/>
      </c>
      <c r="AB11" s="57" t="s">
        <v>361</v>
      </c>
      <c r="AK11" s="17" t="s">
        <v>375</v>
      </c>
    </row>
    <row r="12" spans="1:37" ht="15.5" x14ac:dyDescent="0.35">
      <c r="A12" s="103" t="str">
        <f>IF(I5=2,"* სისხლდენის რისკის მინიმიზაცია ელშემწყობი ფაქტორების (მაგ., ჰიპერტენზია) მოდიფიკაციის გზით",IF(I5=3,"* სისხლდენის რისკის მინიმიზაცია ელშემწყობი ფაქტორების (მაგ., ჰიპერტენზია) მოდიფიკაციის გზით",""))</f>
        <v/>
      </c>
      <c r="B12" s="103"/>
      <c r="C12" s="103"/>
      <c r="D12" s="103"/>
      <c r="E12" s="103"/>
      <c r="F12" s="103"/>
      <c r="G12" s="103"/>
      <c r="H12" s="103"/>
      <c r="I12" s="103"/>
      <c r="M12" s="13"/>
      <c r="N12" s="13"/>
      <c r="O12" s="13"/>
      <c r="P12" s="13"/>
      <c r="Q12" s="13"/>
      <c r="R12" s="17"/>
      <c r="S12" s="150" t="str">
        <f>IF(AA5=2,"* არ დანიშნოთ PGp IIb/IIIa ინჰიბიტორი",IF(AA5=3,"* დაიწყეთ ფონდაპარინუქსი ან დაბალმოლეკულური ჰეპარინი NOAC-ის ბოლო დოზიდან &gt;12 სთ-ში",""))</f>
        <v/>
      </c>
      <c r="T12" s="150"/>
      <c r="U12" s="150"/>
      <c r="V12" s="150"/>
      <c r="W12" s="150"/>
      <c r="X12" s="150"/>
      <c r="Y12" s="150"/>
      <c r="Z12" s="150"/>
      <c r="AA12" s="150"/>
      <c r="AB12" s="57" t="s">
        <v>362</v>
      </c>
    </row>
    <row r="13" spans="1:37" ht="15.5" x14ac:dyDescent="0.35">
      <c r="A13" s="103"/>
      <c r="B13" s="103"/>
      <c r="C13" s="103"/>
      <c r="D13" s="103"/>
      <c r="E13" s="103"/>
      <c r="F13" s="103"/>
      <c r="G13" s="103"/>
      <c r="H13" s="103"/>
      <c r="I13" s="103"/>
      <c r="J13" s="1" t="s">
        <v>371</v>
      </c>
      <c r="M13" s="13">
        <v>1</v>
      </c>
      <c r="N13" s="13"/>
      <c r="O13" s="13"/>
      <c r="P13" s="13"/>
      <c r="Q13" s="13"/>
      <c r="R13" s="17" t="str">
        <f>IF(M13=2,0,IF(M13=3,20,IF(M13=4,39,IF(M13=5,59,""))))</f>
        <v/>
      </c>
      <c r="S13" s="150"/>
      <c r="T13" s="150"/>
      <c r="U13" s="150"/>
      <c r="V13" s="150"/>
      <c r="W13" s="150"/>
      <c r="X13" s="150"/>
      <c r="Y13" s="150"/>
      <c r="Z13" s="150"/>
      <c r="AA13" s="150"/>
      <c r="AB13" s="57" t="s">
        <v>363</v>
      </c>
      <c r="AK13" s="17" t="s">
        <v>379</v>
      </c>
    </row>
    <row r="14" spans="1:37" ht="15.5" x14ac:dyDescent="0.35">
      <c r="M14" s="13"/>
      <c r="R14" s="17"/>
      <c r="S14" s="56" t="str">
        <f>IF(AA5=2,"სტენტის ტიპი:",IF(AA5=3,"ურგენტული NON-STEMI - პირველადი პერკუტანეული კორონარული ინტერვენცია:",""))</f>
        <v/>
      </c>
      <c r="AB14" s="57" t="s">
        <v>364</v>
      </c>
      <c r="AK14" s="17" t="s">
        <v>378</v>
      </c>
    </row>
    <row r="15" spans="1:37" ht="15.5" x14ac:dyDescent="0.35">
      <c r="A15" s="3" t="str">
        <f>IF(I5=2,"კანგავლითი კორონარული ინტერვენციიდან",IF(I5=3,"კანგავლითი კორონარული ინტერვენციიდან",""))</f>
        <v/>
      </c>
      <c r="J15" s="1" t="s">
        <v>376</v>
      </c>
      <c r="M15" s="13">
        <v>2</v>
      </c>
      <c r="R15" s="17">
        <f>IF(M15=2,39,0)</f>
        <v>39</v>
      </c>
      <c r="S15" s="16" t="str">
        <f>IF(AA5=2,"* უპირატესობა ენიჭება თანამედროვე გენერაციის წამლით დაფარულ სტენტს",IF(AA5=3,"* რადიალური მიდგომა",""))</f>
        <v/>
      </c>
      <c r="AB15" s="57" t="s">
        <v>365</v>
      </c>
    </row>
    <row r="16" spans="1:37" x14ac:dyDescent="0.35">
      <c r="M16" s="13"/>
      <c r="R16" s="17"/>
      <c r="S16" s="150" t="str">
        <f>IF(AA5=2,"* არ გამოიყენოთ მეტალის დაუფარავი და პირველი თაობის წამლით დაფარული სტენტი",IF(AA5=3,"* უპირატესობა ენიჭება ბოლო გენერაციის წამლით დაფარული სტენტ(ებ)ის გამოყენებას",""))</f>
        <v/>
      </c>
      <c r="T16" s="150"/>
      <c r="U16" s="150"/>
      <c r="V16" s="150"/>
      <c r="W16" s="150"/>
      <c r="X16" s="150"/>
      <c r="Y16" s="150"/>
      <c r="Z16" s="150"/>
      <c r="AA16" s="150"/>
      <c r="AG16" s="17">
        <v>59</v>
      </c>
    </row>
    <row r="17" spans="1:36" x14ac:dyDescent="0.35">
      <c r="A17" s="40" t="str">
        <f>IF(I5=2,"* პირველი 7 დღე:",IF(I5=3,"ვარიანტი A - პირველი თვის განმავლობაში:",""))</f>
        <v/>
      </c>
      <c r="J17" s="1" t="s">
        <v>377</v>
      </c>
      <c r="M17" s="13">
        <v>2</v>
      </c>
      <c r="R17" s="17">
        <f>IF(M17=2,28,0)</f>
        <v>28</v>
      </c>
      <c r="S17" s="150"/>
      <c r="T17" s="150"/>
      <c r="U17" s="150"/>
      <c r="V17" s="150"/>
      <c r="W17" s="150"/>
      <c r="X17" s="150"/>
      <c r="Y17" s="150"/>
      <c r="Z17" s="150"/>
      <c r="AA17" s="150"/>
      <c r="AG17" s="17">
        <v>67</v>
      </c>
    </row>
    <row r="18" spans="1:36" x14ac:dyDescent="0.35">
      <c r="B18" s="103" t="str">
        <f>IF(I5=2,"სამმაგი თერაპია: NOAC + კლოპიდოგრელი 75 მგ დღეში ერთჯერ + ასპირინი 75-100 მგ დღეში ერთჯერ",IF(I5=3,"სამმაგი თერაპია: NOAC + კლოპიდოგრელი 75 მგ დღეში ერთჯერ + ასპირინი 75-100 მგ დღეში ერთჯერ",""))</f>
        <v/>
      </c>
      <c r="C18" s="103"/>
      <c r="D18" s="103"/>
      <c r="E18" s="103"/>
      <c r="F18" s="103"/>
      <c r="G18" s="103"/>
      <c r="H18" s="103"/>
      <c r="I18" s="103"/>
      <c r="M18" s="13"/>
      <c r="S18" s="150" t="str">
        <f>IF(AA5=3,"* დამატებით არაფრაქცირებული ჰეპარინი, დაბალმოლეკულური ჰეპარინი ან ბივალირუდინი, მიუხეავად NOAC-ის ბოლო მიღებიდან გასული დროისა","")</f>
        <v/>
      </c>
      <c r="T18" s="150"/>
      <c r="U18" s="150"/>
      <c r="V18" s="150"/>
      <c r="W18" s="150"/>
      <c r="X18" s="150"/>
      <c r="Y18" s="150"/>
      <c r="Z18" s="150"/>
      <c r="AA18" s="150"/>
      <c r="AG18" s="17">
        <v>33</v>
      </c>
    </row>
    <row r="19" spans="1:36" x14ac:dyDescent="0.35">
      <c r="B19" s="103"/>
      <c r="C19" s="103"/>
      <c r="D19" s="103"/>
      <c r="E19" s="103"/>
      <c r="F19" s="103"/>
      <c r="G19" s="103"/>
      <c r="H19" s="103"/>
      <c r="I19" s="103"/>
      <c r="J19" s="1" t="s">
        <v>380</v>
      </c>
      <c r="M19" s="13">
        <v>2</v>
      </c>
      <c r="R19" s="17">
        <f>SUM(R5:R18)</f>
        <v>67</v>
      </c>
      <c r="S19" s="150"/>
      <c r="T19" s="150"/>
      <c r="U19" s="150"/>
      <c r="V19" s="150"/>
      <c r="W19" s="150"/>
      <c r="X19" s="150"/>
      <c r="Y19" s="150"/>
      <c r="Z19" s="150"/>
      <c r="AA19" s="150"/>
      <c r="AG19" s="17">
        <v>0</v>
      </c>
    </row>
    <row r="20" spans="1:36" x14ac:dyDescent="0.35">
      <c r="A20" s="12" t="str">
        <f>IF(I5=3,"* მომდევნო 11 თვის განმავლობაში:","")</f>
        <v/>
      </c>
      <c r="S20" s="16" t="str">
        <f>IF(AA5=3,"* არ გამოიყენოთ Gp IIb/IIIa ინჰიბიტორი","")</f>
        <v/>
      </c>
      <c r="AC20" s="17" t="s">
        <v>281</v>
      </c>
      <c r="AD20" s="17" t="s">
        <v>382</v>
      </c>
      <c r="AE20" s="17" t="s">
        <v>383</v>
      </c>
      <c r="AF20" s="17" t="s">
        <v>286</v>
      </c>
      <c r="AG20" s="17" t="s">
        <v>384</v>
      </c>
      <c r="AH20" s="17" t="s">
        <v>385</v>
      </c>
      <c r="AI20" s="17" t="s">
        <v>386</v>
      </c>
      <c r="AJ20" s="17" t="s">
        <v>387</v>
      </c>
    </row>
    <row r="21" spans="1:36" ht="15" customHeight="1" x14ac:dyDescent="0.35">
      <c r="B21" s="103" t="str">
        <f>IF(I5=3,"ორმაგი თერაპია: NOAC + კლოპიდოგრელი 75 მგ დღეში ერთჯერ","")</f>
        <v/>
      </c>
      <c r="C21" s="103"/>
      <c r="D21" s="103"/>
      <c r="E21" s="103"/>
      <c r="F21" s="103"/>
      <c r="G21" s="103"/>
      <c r="H21" s="103"/>
      <c r="I21" s="103"/>
      <c r="S21" s="16" t="str">
        <f>IF(AA5=3,"* არ გამოიყენოთ ფონდაპარინუქსი","")</f>
        <v/>
      </c>
      <c r="AC21" s="17" t="str">
        <f>IF(AND(K5&gt;0,K5&lt;30),0,IF(AND(K5&gt;29,K5&lt;40),8,IF(AND(K5&gt;39,K5&lt;50),25,IF(AND(K5&gt;49,K5&lt;60),41,IF(AND(K5&gt;59,K5&lt;70),58,IF(AND(K5&gt;69,K5&lt;80),75,IF(AND(K5&gt;79,K5&lt;90),91,IF(K5&gt;89,100,""))))))))</f>
        <v/>
      </c>
      <c r="AD21" s="17" t="str">
        <f>IF(AND(M7&gt;0,M7&lt;50),0,IF(AND(M7&gt;49,M7&lt;70),3,IF(AND(M7&gt;69,M7&lt;90),9,IF(AND(M7&gt;89,M7&lt;110),15,IF(AND(M7&gt;109,M7&lt;150),24,IF(AND(M7&gt;149,M7&lt;200),38,IF(M7&gt;199,46,"")))))))</f>
        <v/>
      </c>
      <c r="AE21" s="17" t="str">
        <f>IF(AND(M9&gt;0,M9&lt;80),58,IF(AND(M9&gt;79,M9&lt;100),53,IF(AND(M9&gt;99,M9&lt;120),43,IF(AND(M9&gt;119,M9&lt;140),34,IF(AND(M9&gt;139,M9&lt;160),24,IF(AND(M9&gt;159,M9&lt;200),10,IF(M9&gt;199,0,"")))))))</f>
        <v/>
      </c>
      <c r="AF21" s="17" t="str">
        <f>IF(AND(M11&gt;0,M11&lt;0.4),1,IF(AND(M11&gt;0.39,M11&lt;0.8),4,IF(AND(M11&gt;0.79,M11&lt;1.2),7,IF(AND(M11&gt;1.19,M11&lt;1.6),10,IF(AND(M11&gt;1.59,M11&lt;2),13,IF(AND(M11&gt;1.99,M11&lt;4),21,IF(M11&gt;3.99,28,"")))))))</f>
        <v/>
      </c>
      <c r="AG21" s="17">
        <v>0</v>
      </c>
      <c r="AH21" s="17">
        <v>39</v>
      </c>
      <c r="AI21" s="17">
        <v>28</v>
      </c>
      <c r="AJ21" s="17">
        <v>14</v>
      </c>
    </row>
    <row r="22" spans="1:36" x14ac:dyDescent="0.35">
      <c r="A22" s="12" t="str">
        <f>IF(I5=2,"* მე-8 დღიდან მე-6 თვის ჩათვლით:",IF(I5=3,"* მე-13 თვიდან:",""))</f>
        <v/>
      </c>
      <c r="B22" s="10"/>
      <c r="C22" s="10"/>
      <c r="D22" s="10"/>
      <c r="E22" s="10"/>
      <c r="F22" s="10"/>
      <c r="G22" s="10"/>
      <c r="H22" s="10"/>
      <c r="I22" s="10"/>
      <c r="J22" s="3" t="s">
        <v>381</v>
      </c>
      <c r="P22" s="54">
        <f>R19</f>
        <v>67</v>
      </c>
      <c r="S22" s="56" t="str">
        <f>IF(AA5=3,"STEMI - პირველადი პერკუტანეულიკორონარული ინტერვენცია:","")</f>
        <v/>
      </c>
      <c r="AG22" s="17">
        <v>20</v>
      </c>
    </row>
    <row r="23" spans="1:36" x14ac:dyDescent="0.35">
      <c r="B23" s="107" t="str">
        <f>IF(I5=2,"ორმაგი თერაპია: NOAC + კლოპიდოგრელი 75 მგ დღეში ერთჯერ",IF(I5=3,"მონოთერაპია NOAC-ით",""))</f>
        <v/>
      </c>
      <c r="C23" s="107"/>
      <c r="D23" s="107"/>
      <c r="E23" s="107"/>
      <c r="F23" s="107"/>
      <c r="G23" s="107"/>
      <c r="H23" s="107"/>
      <c r="I23" s="107"/>
      <c r="S23" s="16" t="str">
        <f>IF(AA5=3,"* რადიალური მიდგომა","")</f>
        <v/>
      </c>
      <c r="AG23" s="17">
        <v>39</v>
      </c>
    </row>
    <row r="24" spans="1:36" x14ac:dyDescent="0.35">
      <c r="B24" s="107"/>
      <c r="C24" s="107"/>
      <c r="D24" s="107"/>
      <c r="E24" s="107"/>
      <c r="F24" s="107"/>
      <c r="G24" s="107"/>
      <c r="H24" s="107"/>
      <c r="I24" s="107"/>
      <c r="J24" s="3" t="s">
        <v>388</v>
      </c>
      <c r="P24" s="54" t="str">
        <f>IF(P22&lt;61,"≤0.2%",IF(AND(P22&gt;60,P22&lt;65),"≤0.2%",IF(AND(P22&gt;64,P22&lt;75),"0.3%",IF(AND(P22&gt;74,P22&lt;85),"0.4%",IF(AND(P22&gt;84,P22&lt;95),"0.6%",IF(AND(P22&gt;94,P22&lt;105),"0.8%",IF(AND(P22&gt;104,P22&lt;115),"1.1%",IF(AND(P22&gt;114,P22&lt;125),"1.6%",IF(AND(P22&gt;124,P22&lt;135),"2.1%",IF(AND(P22&gt;134,P22&lt;145),"2.9%",IF(AND(P22&gt;144,P22&lt;155),"3.9%",IF(AND(P22&gt;154,P22&lt;165),"5.4%",IF(AND(P22&gt;164,P22&lt;175),"7.3%",IF(AND(P22&gt;174,P22&lt;185),"9.8%",IF(AND(P22&gt;184,P22&lt;195),"13%",IF(AND(P22&gt;194,P22&lt;205),"18%",IF(AND(P22&gt;204,P22&lt;215),"23%",IF(AND(P22&gt;214,P22&lt;225),"29%",IF(AND(P22&gt;224,P22&lt;235),"36%",IF(AND(P22&gt;234,P22&lt;245),"44%",IF(P22&gt;244," ≥52%","")))))))))))))))))))))</f>
        <v>0.3%</v>
      </c>
      <c r="S24" s="150" t="str">
        <f>IF(AA5=3,"* უპირატესობა ენიჭება ბოლო გენერაციის წამლით დაფარული სტენტ(ებ)ის გამოყენებას","")</f>
        <v/>
      </c>
      <c r="T24" s="150"/>
      <c r="U24" s="150"/>
      <c r="V24" s="150"/>
      <c r="W24" s="150"/>
      <c r="X24" s="150"/>
      <c r="Y24" s="150"/>
      <c r="Z24" s="150"/>
      <c r="AA24" s="150"/>
      <c r="AG24" s="17">
        <v>59</v>
      </c>
    </row>
    <row r="25" spans="1:36" ht="15" thickBot="1" x14ac:dyDescent="0.4">
      <c r="A25" s="53" t="str">
        <f>IF(I5=3,"ვარიანტი B -პირველი 7 დღის განმავლობაში:","")</f>
        <v/>
      </c>
      <c r="S25" s="150"/>
      <c r="T25" s="150"/>
      <c r="U25" s="150"/>
      <c r="V25" s="150"/>
      <c r="W25" s="150"/>
      <c r="X25" s="150"/>
      <c r="Y25" s="150"/>
      <c r="Z25" s="150"/>
      <c r="AA25" s="150"/>
    </row>
    <row r="26" spans="1:36" ht="15" thickTop="1" x14ac:dyDescent="0.35">
      <c r="B26" s="107" t="str">
        <f>IF(I5=3,"სამმაგი თერაპია: NOAC + ტიკაგრელორი 90 მგ დღეში ორჯერ + ასპირინი 75-100 მგ დღეში ერთჯერ","")</f>
        <v/>
      </c>
      <c r="C26" s="107"/>
      <c r="D26" s="107"/>
      <c r="E26" s="107"/>
      <c r="F26" s="107"/>
      <c r="G26" s="107"/>
      <c r="H26" s="107"/>
      <c r="I26" s="107"/>
      <c r="S26" s="150" t="str">
        <f>IF(AA5=3,"* დამატებით არაფრაქცირებული ჰეპარინი, დაბალმოლეკულური ჰეპარინი ან ბივალირუდინი, მიუხეავად NOAC-ის ბოლო მიღებიდან გასული დროისა","")</f>
        <v/>
      </c>
      <c r="T26" s="150"/>
      <c r="U26" s="150"/>
      <c r="V26" s="150"/>
      <c r="W26" s="150"/>
      <c r="X26" s="150"/>
      <c r="Y26" s="150"/>
      <c r="Z26" s="150"/>
      <c r="AA26" s="150"/>
    </row>
    <row r="27" spans="1:36" x14ac:dyDescent="0.35">
      <c r="B27" s="107"/>
      <c r="C27" s="107"/>
      <c r="D27" s="107"/>
      <c r="E27" s="107"/>
      <c r="F27" s="107"/>
      <c r="G27" s="107"/>
      <c r="H27" s="107"/>
      <c r="I27" s="107"/>
      <c r="S27" s="150"/>
      <c r="T27" s="150"/>
      <c r="U27" s="150"/>
      <c r="V27" s="150"/>
      <c r="W27" s="150"/>
      <c r="X27" s="150"/>
      <c r="Y27" s="150"/>
      <c r="Z27" s="150"/>
      <c r="AA27" s="150"/>
    </row>
    <row r="28" spans="1:36" x14ac:dyDescent="0.35">
      <c r="A28" s="12" t="str">
        <f>IF(I5=2,"* მომდევნო ≥6 თვის განმავლობაში:",IF(I5=3,"* მე-8 დღიდან მე-6 თვის ჩათვლით:",""))</f>
        <v/>
      </c>
      <c r="S28" s="16" t="str">
        <f>IF(AA5=3,"* არ გამოიყენოთ Gp IIb/IIIa ინჰიბიტორი","")</f>
        <v/>
      </c>
    </row>
    <row r="29" spans="1:36" x14ac:dyDescent="0.35">
      <c r="B29" s="1" t="str">
        <f>IF(I5=2,"მონოთერაპია NOAC-ით",IF(I5=3,"ორმაგი თერაპია: NOAC + ტიკაგრელორი 90 მგ დღეში ორჯერ",""))</f>
        <v/>
      </c>
      <c r="S29" s="16" t="str">
        <f>IF(AA5=3,"* არ გამოიყენოთ ფონდაპარინუქსი","")</f>
        <v/>
      </c>
    </row>
    <row r="30" spans="1:36" x14ac:dyDescent="0.35">
      <c r="A30" s="12" t="str">
        <f>IF(I5=3,"* მომდევნო 6 თვის განმავლობაში:","")</f>
        <v/>
      </c>
      <c r="S30" s="56" t="str">
        <f>IF(AA5=3,"STEMI - ფიბრინოლიზი:","")</f>
        <v/>
      </c>
    </row>
    <row r="31" spans="1:36" x14ac:dyDescent="0.35">
      <c r="B31" s="1" t="str">
        <f>IF(I5=3,"ორმაგი თერაპია: NOAC + კლოპიდოგრელი 75 მგ დღეში ერთჯერ","")</f>
        <v/>
      </c>
      <c r="S31" s="16" t="str">
        <f>IF(AA5=3,"* ფარდობითი უკუჩვენება ორალურ ანტიკოაგულაციაზე მყოფი პაციენტებისთვის","")</f>
        <v/>
      </c>
    </row>
    <row r="32" spans="1:36" x14ac:dyDescent="0.35">
      <c r="A32" s="12" t="str">
        <f>IF(I5=3,"* მე-13 თვიდან:","")</f>
        <v/>
      </c>
      <c r="S32" s="16" t="str">
        <f>IF(AA5=3,"* სისხლდენის რისკის შეფასება","")</f>
        <v/>
      </c>
    </row>
    <row r="33" spans="1:9" x14ac:dyDescent="0.35">
      <c r="B33" s="1" t="str">
        <f>IF(I5=3,"მონოთერაპია NOAC-ით","")</f>
        <v/>
      </c>
    </row>
    <row r="36" spans="1:9" x14ac:dyDescent="0.35">
      <c r="A36" s="156" t="str">
        <f>IF(I5=2,"კომბინაციური თერაპიის ხანგრძლივობის შემცირების/დეინტენსიფიკაციის ფაქტორები:",IF(I5=3,"კომბინაციური თერაპიის ხანგრძლივობის შემცირების/დეინტენსიფიკაციის ფაქტორები:",""))</f>
        <v/>
      </c>
      <c r="B36" s="156"/>
      <c r="C36" s="156"/>
      <c r="D36" s="156"/>
      <c r="E36" s="156"/>
      <c r="F36" s="156"/>
      <c r="G36" s="156"/>
      <c r="H36" s="156"/>
      <c r="I36" s="156"/>
    </row>
    <row r="37" spans="1:9" x14ac:dyDescent="0.35">
      <c r="A37" s="156"/>
      <c r="B37" s="156"/>
      <c r="C37" s="156"/>
      <c r="D37" s="156"/>
      <c r="E37" s="156"/>
      <c r="F37" s="156"/>
      <c r="G37" s="156"/>
      <c r="H37" s="156"/>
      <c r="I37" s="156"/>
    </row>
    <row r="38" spans="1:9" x14ac:dyDescent="0.35">
      <c r="A38" s="1" t="str">
        <f>IF(I5=2,"* სისხლდენის მაღალი (უკონტროლო) რისკი",IF(I5=3,"* სისხლდენის მაღალი (უკონტროლო) რისკი",""))</f>
        <v/>
      </c>
    </row>
    <row r="39" spans="1:9" x14ac:dyDescent="0.35">
      <c r="A39" s="1" t="str">
        <f>IF(I5=2,"* დაბალი ათეროთრომბოზული რისკი REACH-ით ან SYNTAX-ით",IF(I5=3,"* დაბალი ათეროთრომბოზული რისკი GRACE-ით (&lt;140)",""))</f>
        <v/>
      </c>
    </row>
    <row r="41" spans="1:9" x14ac:dyDescent="0.35">
      <c r="A41" s="23" t="str">
        <f>IF(I5=2,"კომბინაციური თერაპიის გახანგრძლივების/ინტენსიფიკაციის ფაქტორები:",IF(I5=3,"კომბინაციური თერაპიის გახანგრძლივების/ინტენსიფიკაციის ფაქტორები:",""))</f>
        <v/>
      </c>
    </row>
    <row r="42" spans="1:9" ht="15" customHeight="1" x14ac:dyDescent="0.35">
      <c r="A42" s="107" t="str">
        <f>IF(I5=2,AB5,IF(I5=3,AB6,""))</f>
        <v/>
      </c>
      <c r="B42" s="107"/>
      <c r="C42" s="107"/>
      <c r="D42" s="107"/>
      <c r="E42" s="107"/>
      <c r="F42" s="107"/>
      <c r="G42" s="107"/>
      <c r="H42" s="107"/>
      <c r="I42" s="107"/>
    </row>
    <row r="43" spans="1:9" x14ac:dyDescent="0.35">
      <c r="A43" s="107"/>
      <c r="B43" s="107"/>
      <c r="C43" s="107"/>
      <c r="D43" s="107"/>
      <c r="E43" s="107"/>
      <c r="F43" s="107"/>
      <c r="G43" s="107"/>
      <c r="H43" s="107"/>
      <c r="I43" s="107"/>
    </row>
    <row r="44" spans="1:9" x14ac:dyDescent="0.35">
      <c r="A44" s="107"/>
      <c r="B44" s="107"/>
      <c r="C44" s="107"/>
      <c r="D44" s="107"/>
      <c r="E44" s="107"/>
      <c r="F44" s="107"/>
      <c r="G44" s="107"/>
      <c r="H44" s="107"/>
      <c r="I44" s="107"/>
    </row>
    <row r="45" spans="1:9" x14ac:dyDescent="0.35">
      <c r="A45" s="107"/>
      <c r="B45" s="107"/>
      <c r="C45" s="107"/>
      <c r="D45" s="107"/>
      <c r="E45" s="107"/>
      <c r="F45" s="107"/>
      <c r="G45" s="107"/>
      <c r="H45" s="107"/>
      <c r="I45" s="107"/>
    </row>
    <row r="46" spans="1:9" x14ac:dyDescent="0.35">
      <c r="A46" s="107"/>
      <c r="B46" s="107"/>
      <c r="C46" s="107"/>
      <c r="D46" s="107"/>
      <c r="E46" s="107"/>
      <c r="F46" s="107"/>
      <c r="G46" s="107"/>
      <c r="H46" s="107"/>
      <c r="I46" s="107"/>
    </row>
    <row r="47" spans="1:9" x14ac:dyDescent="0.35">
      <c r="A47" s="107"/>
      <c r="B47" s="107"/>
      <c r="C47" s="107"/>
      <c r="D47" s="107"/>
      <c r="E47" s="107"/>
      <c r="F47" s="107"/>
      <c r="G47" s="107"/>
      <c r="H47" s="107"/>
      <c r="I47" s="107"/>
    </row>
  </sheetData>
  <sheetProtection algorithmName="SHA-512" hashValue="GiKhUms6tYlQtDmu+k89pOU43jQV9WBkze7anwZO3++1SHkDtswLAYBzNCpDk2DvgM64pwQ5po8q5NTcg8ftfg==" saltValue="BebLfO7KSL/iM+OdjSlNNg==" spinCount="100000" sheet="1" objects="1" scenarios="1"/>
  <mergeCells count="19">
    <mergeCell ref="A36:I37"/>
    <mergeCell ref="A42:I47"/>
    <mergeCell ref="B21:I21"/>
    <mergeCell ref="B26:I27"/>
    <mergeCell ref="A1:I3"/>
    <mergeCell ref="A8:I9"/>
    <mergeCell ref="A10:I11"/>
    <mergeCell ref="A12:I13"/>
    <mergeCell ref="B18:I19"/>
    <mergeCell ref="B23:I24"/>
    <mergeCell ref="S18:AA19"/>
    <mergeCell ref="S24:AA25"/>
    <mergeCell ref="S26:AA27"/>
    <mergeCell ref="S1:AA3"/>
    <mergeCell ref="J1:R3"/>
    <mergeCell ref="J7:L7"/>
    <mergeCell ref="S16:AA17"/>
    <mergeCell ref="S7:AA8"/>
    <mergeCell ref="S12:AA13"/>
  </mergeCells>
  <conditionalFormatting sqref="A25 A28 A30 A32">
    <cfRule type="containsText" dxfId="34" priority="2" operator="containsText" text="ვარიანტი B">
      <formula>NOT(ISERROR(SEARCH("ვარიანტი B",A25)))</formula>
    </cfRule>
  </conditionalFormatting>
  <conditionalFormatting sqref="A17 A20 A22">
    <cfRule type="containsText" dxfId="33" priority="1" operator="containsText" text="ვარიანტი A">
      <formula>NOT(ISERROR(SEARCH("ვარიანტი A",A17)))</formula>
    </cfRule>
  </conditionalFormatting>
  <hyperlinks>
    <hyperlink ref="A1:I3" location="Main!A1" display="NOAC და კანგავლითი კორონარული ინტერვენცია" xr:uid="{00000000-0004-0000-0C00-000000000000}"/>
    <hyperlink ref="S1:AA3" location="Main!A1" display="ელექტიური PCI-ის ან მწვავე კორონარული სინდრომის მწვავე მართვა" xr:uid="{00000000-0004-0000-0C00-000001000000}"/>
  </hyperlink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Drop Down 1">
              <controlPr defaultSize="0" autoLine="0" autoPict="0">
                <anchor moveWithCells="1">
                  <from>
                    <xdr:col>4</xdr:col>
                    <xdr:colOff>508000</xdr:colOff>
                    <xdr:row>3</xdr:row>
                    <xdr:rowOff>152400</xdr:rowOff>
                  </from>
                  <to>
                    <xdr:col>8</xdr:col>
                    <xdr:colOff>603250</xdr:colOff>
                    <xdr:row>5</xdr:row>
                    <xdr:rowOff>0</xdr:rowOff>
                  </to>
                </anchor>
              </controlPr>
            </control>
          </mc:Choice>
        </mc:AlternateContent>
        <mc:AlternateContent xmlns:mc="http://schemas.openxmlformats.org/markup-compatibility/2006">
          <mc:Choice Requires="x14">
            <control shapeId="13314" r:id="rId5" name="Drop Down 2">
              <controlPr defaultSize="0" autoLine="0" autoPict="0">
                <anchor moveWithCells="1">
                  <from>
                    <xdr:col>11</xdr:col>
                    <xdr:colOff>603250</xdr:colOff>
                    <xdr:row>12</xdr:row>
                    <xdr:rowOff>0</xdr:rowOff>
                  </from>
                  <to>
                    <xdr:col>16</xdr:col>
                    <xdr:colOff>304800</xdr:colOff>
                    <xdr:row>13</xdr:row>
                    <xdr:rowOff>19050</xdr:rowOff>
                  </to>
                </anchor>
              </controlPr>
            </control>
          </mc:Choice>
        </mc:AlternateContent>
        <mc:AlternateContent xmlns:mc="http://schemas.openxmlformats.org/markup-compatibility/2006">
          <mc:Choice Requires="x14">
            <control shapeId="13316" r:id="rId6" name="Drop Down 4">
              <controlPr defaultSize="0" autoLine="0" autoPict="0">
                <anchor moveWithCells="1">
                  <from>
                    <xdr:col>12</xdr:col>
                    <xdr:colOff>374650</xdr:colOff>
                    <xdr:row>13</xdr:row>
                    <xdr:rowOff>184150</xdr:rowOff>
                  </from>
                  <to>
                    <xdr:col>13</xdr:col>
                    <xdr:colOff>457200</xdr:colOff>
                    <xdr:row>15</xdr:row>
                    <xdr:rowOff>12700</xdr:rowOff>
                  </to>
                </anchor>
              </controlPr>
            </control>
          </mc:Choice>
        </mc:AlternateContent>
        <mc:AlternateContent xmlns:mc="http://schemas.openxmlformats.org/markup-compatibility/2006">
          <mc:Choice Requires="x14">
            <control shapeId="13317" r:id="rId7" name="Drop Down 5">
              <controlPr defaultSize="0" autoLine="0" autoPict="0">
                <anchor moveWithCells="1">
                  <from>
                    <xdr:col>12</xdr:col>
                    <xdr:colOff>374650</xdr:colOff>
                    <xdr:row>15</xdr:row>
                    <xdr:rowOff>165100</xdr:rowOff>
                  </from>
                  <to>
                    <xdr:col>13</xdr:col>
                    <xdr:colOff>457200</xdr:colOff>
                    <xdr:row>17</xdr:row>
                    <xdr:rowOff>12700</xdr:rowOff>
                  </to>
                </anchor>
              </controlPr>
            </control>
          </mc:Choice>
        </mc:AlternateContent>
        <mc:AlternateContent xmlns:mc="http://schemas.openxmlformats.org/markup-compatibility/2006">
          <mc:Choice Requires="x14">
            <control shapeId="13318" r:id="rId8" name="Drop Down 6">
              <controlPr defaultSize="0" autoLine="0" autoPict="0">
                <anchor moveWithCells="1">
                  <from>
                    <xdr:col>12</xdr:col>
                    <xdr:colOff>381000</xdr:colOff>
                    <xdr:row>17</xdr:row>
                    <xdr:rowOff>171450</xdr:rowOff>
                  </from>
                  <to>
                    <xdr:col>13</xdr:col>
                    <xdr:colOff>469900</xdr:colOff>
                    <xdr:row>19</xdr:row>
                    <xdr:rowOff>19050</xdr:rowOff>
                  </to>
                </anchor>
              </controlPr>
            </control>
          </mc:Choice>
        </mc:AlternateContent>
        <mc:AlternateContent xmlns:mc="http://schemas.openxmlformats.org/markup-compatibility/2006">
          <mc:Choice Requires="x14">
            <control shapeId="13319" r:id="rId9" name="Drop Down 7">
              <controlPr defaultSize="0" autoLine="0" autoPict="0">
                <anchor moveWithCells="1">
                  <from>
                    <xdr:col>22</xdr:col>
                    <xdr:colOff>508000</xdr:colOff>
                    <xdr:row>3</xdr:row>
                    <xdr:rowOff>152400</xdr:rowOff>
                  </from>
                  <to>
                    <xdr:col>26</xdr:col>
                    <xdr:colOff>603250</xdr:colOff>
                    <xdr:row>5</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Worksheet____15"/>
  <dimension ref="A1:AC55"/>
  <sheetViews>
    <sheetView workbookViewId="0">
      <selection activeCell="V34" sqref="V34"/>
    </sheetView>
  </sheetViews>
  <sheetFormatPr defaultColWidth="9.1796875" defaultRowHeight="14.5" x14ac:dyDescent="0.35"/>
  <cols>
    <col min="1" max="18" width="9.1796875" style="1"/>
    <col min="19" max="29" width="9.1796875" style="75"/>
    <col min="30" max="16384" width="9.1796875" style="1"/>
  </cols>
  <sheetData>
    <row r="1" spans="1:28" ht="15" customHeight="1" x14ac:dyDescent="0.35">
      <c r="A1" s="157" t="s">
        <v>389</v>
      </c>
      <c r="B1" s="157"/>
      <c r="C1" s="157"/>
      <c r="D1" s="157"/>
      <c r="E1" s="157"/>
      <c r="F1" s="157"/>
      <c r="G1" s="157"/>
      <c r="H1" s="157"/>
      <c r="I1" s="158"/>
      <c r="J1" s="160" t="s">
        <v>395</v>
      </c>
      <c r="K1" s="161"/>
      <c r="L1" s="161"/>
      <c r="M1" s="161"/>
      <c r="N1" s="161"/>
      <c r="O1" s="161"/>
      <c r="P1" s="161"/>
      <c r="Q1" s="161"/>
      <c r="R1" s="161"/>
      <c r="S1" s="74"/>
    </row>
    <row r="2" spans="1:28" ht="15" customHeight="1" x14ac:dyDescent="0.35">
      <c r="A2" s="157"/>
      <c r="B2" s="157"/>
      <c r="C2" s="157"/>
      <c r="D2" s="157"/>
      <c r="E2" s="157"/>
      <c r="F2" s="157"/>
      <c r="G2" s="157"/>
      <c r="H2" s="157"/>
      <c r="I2" s="158"/>
      <c r="J2" s="160"/>
      <c r="K2" s="161"/>
      <c r="L2" s="161"/>
      <c r="M2" s="161"/>
      <c r="N2" s="161"/>
      <c r="O2" s="161"/>
      <c r="P2" s="161"/>
      <c r="Q2" s="161"/>
      <c r="R2" s="161"/>
      <c r="S2" s="74"/>
      <c r="W2" s="75" t="s">
        <v>378</v>
      </c>
      <c r="AB2" s="75" t="s">
        <v>392</v>
      </c>
    </row>
    <row r="3" spans="1:28" ht="15" customHeight="1" x14ac:dyDescent="0.35">
      <c r="A3" s="157"/>
      <c r="B3" s="157"/>
      <c r="C3" s="157"/>
      <c r="D3" s="157"/>
      <c r="E3" s="157"/>
      <c r="F3" s="157"/>
      <c r="G3" s="157"/>
      <c r="H3" s="157"/>
      <c r="I3" s="158"/>
      <c r="J3" s="160"/>
      <c r="K3" s="161"/>
      <c r="L3" s="161"/>
      <c r="M3" s="161"/>
      <c r="N3" s="161"/>
      <c r="O3" s="161"/>
      <c r="P3" s="161"/>
      <c r="Q3" s="161"/>
      <c r="R3" s="161"/>
      <c r="S3" s="74"/>
      <c r="W3" s="75" t="s">
        <v>379</v>
      </c>
      <c r="AB3" s="75" t="s">
        <v>393</v>
      </c>
    </row>
    <row r="4" spans="1:28" ht="15" customHeight="1" x14ac:dyDescent="0.35">
      <c r="I4" s="13"/>
      <c r="J4" s="61"/>
      <c r="K4" s="61"/>
      <c r="L4" s="61"/>
      <c r="M4" s="61"/>
      <c r="N4" s="61"/>
      <c r="O4" s="61"/>
      <c r="P4" s="61"/>
      <c r="Q4" s="61"/>
      <c r="R4" s="61"/>
      <c r="S4" s="74"/>
    </row>
    <row r="5" spans="1:28" x14ac:dyDescent="0.35">
      <c r="A5" s="1" t="s">
        <v>394</v>
      </c>
      <c r="I5" s="13">
        <v>1</v>
      </c>
      <c r="J5" s="62"/>
      <c r="K5" s="62"/>
      <c r="L5" s="62"/>
      <c r="M5" s="62"/>
      <c r="N5" s="62"/>
      <c r="O5" s="62"/>
      <c r="P5" s="62"/>
      <c r="Q5" s="62"/>
      <c r="R5" s="62"/>
      <c r="S5" s="76"/>
    </row>
    <row r="6" spans="1:28" x14ac:dyDescent="0.35">
      <c r="J6" s="73" t="s">
        <v>396</v>
      </c>
      <c r="K6" s="165"/>
      <c r="L6" s="165"/>
      <c r="M6" s="165"/>
      <c r="N6" s="165"/>
      <c r="O6" s="165"/>
      <c r="P6" s="165"/>
      <c r="Q6" s="64" t="s">
        <v>281</v>
      </c>
      <c r="R6" s="72"/>
      <c r="S6" s="77">
        <f>IF(R6&lt;65,0,IF(AND(R6&gt;64,R6&lt;75),1,IF(R6&gt;74,2,"")))</f>
        <v>0</v>
      </c>
      <c r="AB6" s="75" t="s">
        <v>390</v>
      </c>
    </row>
    <row r="7" spans="1:28" ht="15" thickBot="1" x14ac:dyDescent="0.4">
      <c r="A7" s="58" t="str">
        <f>IF(I5=2,"წინაგულების ციმციმის ხანგრძლივობა დაუდგენელი ან &gt;48 სთ",IF(I5=3,"პაციენტის მხრიდან კარგი დამყოლობა",""))</f>
        <v/>
      </c>
      <c r="J7" s="63"/>
      <c r="K7" s="63"/>
      <c r="L7" s="63"/>
      <c r="M7" s="63"/>
      <c r="N7" s="63"/>
      <c r="O7" s="63"/>
      <c r="P7" s="63"/>
      <c r="Q7" s="63"/>
      <c r="R7" s="63"/>
      <c r="S7" s="77"/>
      <c r="AB7" s="75" t="s">
        <v>391</v>
      </c>
    </row>
    <row r="8" spans="1:28" ht="15" thickTop="1" x14ac:dyDescent="0.35">
      <c r="A8" s="59"/>
      <c r="J8" s="63" t="s">
        <v>397</v>
      </c>
      <c r="K8" s="166"/>
      <c r="L8" s="167"/>
      <c r="M8" s="66" t="s">
        <v>284</v>
      </c>
      <c r="N8" s="64"/>
      <c r="O8" s="67" t="s">
        <v>285</v>
      </c>
      <c r="P8" s="63"/>
      <c r="Q8" s="63"/>
      <c r="R8" s="63"/>
      <c r="S8" s="77">
        <f>IF(T8=2,1,IF(T8=1,0,""))</f>
        <v>0</v>
      </c>
      <c r="T8" s="79">
        <v>1</v>
      </c>
    </row>
    <row r="9" spans="1:28" x14ac:dyDescent="0.35">
      <c r="A9" s="59" t="str">
        <f>IF(I5=2,"წინაგულების ციმციმის ხანგრძლივობა ≤48 სთ",IF(I5=3,"პაციენტის მხრიდან ცუდი დამყოლობა/ეჭვი წინაგულოვან თრომბზე",""))</f>
        <v/>
      </c>
      <c r="J9" s="63"/>
      <c r="K9" s="63"/>
      <c r="L9" s="63"/>
      <c r="M9" s="63"/>
      <c r="N9" s="63"/>
      <c r="O9" s="63"/>
      <c r="P9" s="63"/>
      <c r="Q9" s="63"/>
      <c r="R9" s="63"/>
      <c r="S9" s="77"/>
    </row>
    <row r="10" spans="1:28" x14ac:dyDescent="0.35">
      <c r="A10" s="59"/>
      <c r="J10" s="63"/>
      <c r="K10" s="63"/>
      <c r="L10" s="63"/>
      <c r="M10" s="63"/>
      <c r="N10" s="63"/>
      <c r="O10" s="63"/>
      <c r="P10" s="63"/>
      <c r="Q10" s="63"/>
      <c r="R10" s="68"/>
      <c r="S10" s="77"/>
    </row>
    <row r="11" spans="1:28" ht="15" customHeight="1" x14ac:dyDescent="0.35">
      <c r="A11" s="163" t="str">
        <f>IF(AND(I5=2,AB28=FALSE,AB29),"* საშუალო/მაღალი რისკის პაციენტი (CHA2DS2-VASc ≥3 (კაცი)/≥2 (ქალი) ანდა წინაგულების ციმციმის ხანდაზმულობა &gt;12 სთ)",IF(AND(I5=3,AB28=FALSE,AB29),"* მარცხენა წინაგულში არ არის თრომბი",""))</f>
        <v/>
      </c>
      <c r="B11" s="163"/>
      <c r="C11" s="163"/>
      <c r="D11" s="163"/>
      <c r="E11" s="163"/>
      <c r="F11" s="163"/>
      <c r="G11" s="163"/>
      <c r="H11" s="60"/>
      <c r="I11" s="60"/>
      <c r="J11" s="159" t="s">
        <v>398</v>
      </c>
      <c r="K11" s="159"/>
      <c r="L11" s="159"/>
      <c r="M11" s="159"/>
      <c r="N11" s="159"/>
      <c r="O11" s="159"/>
      <c r="P11" s="159"/>
      <c r="Q11" s="159"/>
      <c r="R11" s="69">
        <v>1</v>
      </c>
      <c r="S11" s="78" t="str">
        <f>IF(R11=2,1,IF(R11=3,0,""))</f>
        <v/>
      </c>
    </row>
    <row r="12" spans="1:28" x14ac:dyDescent="0.35">
      <c r="A12" s="163"/>
      <c r="B12" s="163"/>
      <c r="C12" s="163"/>
      <c r="D12" s="163"/>
      <c r="E12" s="163"/>
      <c r="F12" s="163"/>
      <c r="G12" s="163"/>
      <c r="H12" s="60"/>
      <c r="I12" s="60"/>
      <c r="J12" s="63"/>
      <c r="K12" s="63"/>
      <c r="L12" s="63"/>
      <c r="M12" s="63"/>
      <c r="N12" s="63"/>
      <c r="O12" s="63"/>
      <c r="P12" s="63"/>
      <c r="Q12" s="63"/>
      <c r="R12" s="65"/>
      <c r="S12" s="78"/>
    </row>
    <row r="13" spans="1:28" x14ac:dyDescent="0.35">
      <c r="A13" s="59"/>
      <c r="J13" s="159" t="s">
        <v>399</v>
      </c>
      <c r="K13" s="159"/>
      <c r="L13" s="159"/>
      <c r="M13" s="159"/>
      <c r="N13" s="159"/>
      <c r="O13" s="159"/>
      <c r="P13" s="159"/>
      <c r="Q13" s="159"/>
      <c r="R13" s="69">
        <v>1</v>
      </c>
      <c r="S13" s="78" t="str">
        <f>IF(R13=2,1,IF(R13=3,0,""))</f>
        <v/>
      </c>
    </row>
    <row r="14" spans="1:28" x14ac:dyDescent="0.35">
      <c r="A14" s="163" t="str">
        <f>IF(AND(I5=2,AB28=FALSE,AB29),"* დაბალი რისკის პაციენტი - შეწყვიტეთ NOAC კარდიოვერსიამდე 2-4 საათით ადრე",IF(AND(I5=3,AB28=FALSE,AB29),"* მარცხენა წინაგულში არის თრომბი",""))</f>
        <v/>
      </c>
      <c r="B14" s="163"/>
      <c r="C14" s="163"/>
      <c r="D14" s="163"/>
      <c r="E14" s="163"/>
      <c r="F14" s="163"/>
      <c r="G14" s="163"/>
      <c r="J14" s="63"/>
      <c r="K14" s="63"/>
      <c r="L14" s="63"/>
      <c r="M14" s="63"/>
      <c r="N14" s="63"/>
      <c r="O14" s="63"/>
      <c r="P14" s="63"/>
      <c r="Q14" s="63"/>
      <c r="R14" s="65"/>
      <c r="S14" s="78"/>
    </row>
    <row r="15" spans="1:28" x14ac:dyDescent="0.35">
      <c r="A15" s="163"/>
      <c r="B15" s="163"/>
      <c r="C15" s="163"/>
      <c r="D15" s="163"/>
      <c r="E15" s="163"/>
      <c r="F15" s="163"/>
      <c r="G15" s="163"/>
      <c r="J15" s="159" t="s">
        <v>400</v>
      </c>
      <c r="K15" s="159"/>
      <c r="L15" s="159"/>
      <c r="M15" s="159"/>
      <c r="N15" s="159"/>
      <c r="O15" s="159"/>
      <c r="P15" s="159"/>
      <c r="Q15" s="159"/>
      <c r="R15" s="69">
        <v>1</v>
      </c>
      <c r="S15" s="78" t="str">
        <f>IF(R15=2,2,IF(R15=3,0,""))</f>
        <v/>
      </c>
    </row>
    <row r="16" spans="1:28" x14ac:dyDescent="0.35">
      <c r="J16" s="67"/>
      <c r="K16" s="67"/>
      <c r="L16" s="67"/>
      <c r="M16" s="67"/>
      <c r="N16" s="67"/>
      <c r="O16" s="67"/>
      <c r="P16" s="67"/>
      <c r="Q16" s="67"/>
      <c r="R16" s="65"/>
      <c r="S16" s="78"/>
    </row>
    <row r="17" spans="1:28" x14ac:dyDescent="0.35">
      <c r="A17" s="100" t="str">
        <f>IF(AND(I5=2,AB28,AB29=FALSE),"ადრეული კარდიოვერსია:",IF(AND(I5=2,AB28=FALSE,AB29,AB31,AB32=FALSE),"ადრეული კარდიოვერსია:",""))</f>
        <v/>
      </c>
      <c r="B17" s="100"/>
      <c r="C17" s="100"/>
      <c r="D17" s="100"/>
      <c r="E17" s="100"/>
      <c r="F17" s="100"/>
      <c r="G17" s="100"/>
      <c r="H17" s="100"/>
      <c r="I17" s="100"/>
      <c r="J17" s="159" t="s">
        <v>401</v>
      </c>
      <c r="K17" s="159"/>
      <c r="L17" s="159"/>
      <c r="M17" s="159"/>
      <c r="N17" s="159"/>
      <c r="O17" s="159"/>
      <c r="P17" s="159"/>
      <c r="Q17" s="159"/>
      <c r="R17" s="65"/>
      <c r="S17" s="78"/>
      <c r="AB17" s="79" t="b">
        <v>0</v>
      </c>
    </row>
    <row r="18" spans="1:28" x14ac:dyDescent="0.35">
      <c r="A18" s="1" t="str">
        <f>IF(AND(I5=2,AB28,AB29=FALSE),"* დაიწყეთ NOAC კარდიოვერსიამდე ≥(2)-4 სთ-ით ადრე",IF(AND(I5=2,AB28=FALSE,AB29,AB31,AB32=FALSE),"* დაიწყეთ NOAC კარდიოვერსიამდე ≥(2)-4 სთ-ით ადრე",""))</f>
        <v/>
      </c>
      <c r="J18" s="63" t="s">
        <v>402</v>
      </c>
      <c r="K18" s="63"/>
      <c r="L18" s="63"/>
      <c r="M18" s="63"/>
      <c r="N18" s="63"/>
      <c r="O18" s="63"/>
      <c r="P18" s="63"/>
      <c r="Q18" s="63"/>
      <c r="R18" s="68">
        <v>1</v>
      </c>
      <c r="S18" s="80" t="str">
        <f>IF(R18=2,1,IF(R18=3,0,""))</f>
        <v/>
      </c>
      <c r="AB18" s="79" t="b">
        <v>0</v>
      </c>
    </row>
    <row r="19" spans="1:28" x14ac:dyDescent="0.35">
      <c r="J19" s="63"/>
      <c r="K19" s="63"/>
      <c r="L19" s="63"/>
      <c r="M19" s="63"/>
      <c r="N19" s="63"/>
      <c r="O19" s="63"/>
      <c r="P19" s="63"/>
      <c r="Q19" s="63"/>
      <c r="R19" s="68"/>
      <c r="S19" s="80"/>
      <c r="AB19" s="79"/>
    </row>
    <row r="20" spans="1:28" x14ac:dyDescent="0.35">
      <c r="A20" s="105" t="str">
        <f>IF(AND(I5=2,AB28,AB29=FALSE),"მარცხენა წინაგულის ღრუში/ყურში არ არის თრომბული მასა",IF(AND(I5=2,AB28=FALSE,AB29,AB31,AB32=FALSE),"მარცხენა წინაგულის ღრუში/ყურში არ არის თრომბული მასა",""))</f>
        <v/>
      </c>
      <c r="B20" s="105"/>
      <c r="C20" s="105"/>
      <c r="D20" s="105"/>
      <c r="E20" s="105"/>
      <c r="F20" s="105"/>
      <c r="G20" s="105"/>
      <c r="H20" s="105"/>
      <c r="I20" s="105"/>
      <c r="J20" s="159" t="s">
        <v>403</v>
      </c>
      <c r="K20" s="159"/>
      <c r="L20" s="159"/>
      <c r="M20" s="159"/>
      <c r="N20" s="159"/>
      <c r="O20" s="159"/>
      <c r="P20" s="159"/>
      <c r="Q20" s="159"/>
      <c r="R20" s="69">
        <v>1</v>
      </c>
      <c r="S20" s="78" t="str">
        <f>IF(R20=2,1,IF(R20=3,0,""))</f>
        <v/>
      </c>
      <c r="AB20" s="79" t="b">
        <v>0</v>
      </c>
    </row>
    <row r="21" spans="1:28" x14ac:dyDescent="0.35">
      <c r="J21" s="63"/>
      <c r="K21" s="63"/>
      <c r="L21" s="63"/>
      <c r="M21" s="63"/>
      <c r="N21" s="63"/>
      <c r="O21" s="63"/>
      <c r="P21" s="63"/>
      <c r="Q21" s="63"/>
      <c r="R21" s="68"/>
      <c r="S21" s="77">
        <f>SUM(S6:S20)</f>
        <v>0</v>
      </c>
      <c r="AB21" s="79" t="b">
        <v>0</v>
      </c>
    </row>
    <row r="22" spans="1:28" x14ac:dyDescent="0.35">
      <c r="A22" s="105" t="str">
        <f>IF(AND(I5=2,AB28,AB29=FALSE),"მარცხენა წინაგულის ღრუში/ყურში არის თრომბული მასა",IF(AND(I5=2,AB28=FALSE,AB29,AB31,AB32=FALSE),"მარცხენა წინაგულის ღრუში/ყურში არის თრომბული მასა",""))</f>
        <v/>
      </c>
      <c r="B22" s="105"/>
      <c r="C22" s="105"/>
      <c r="D22" s="105"/>
      <c r="E22" s="105"/>
      <c r="F22" s="105"/>
      <c r="G22" s="105"/>
      <c r="H22" s="105"/>
      <c r="I22" s="105"/>
      <c r="J22" s="63"/>
      <c r="K22" s="63"/>
      <c r="L22" s="63"/>
      <c r="M22" s="63"/>
      <c r="N22" s="63"/>
      <c r="O22" s="63"/>
      <c r="P22" s="63"/>
      <c r="Q22" s="63"/>
      <c r="R22" s="63"/>
      <c r="S22" s="77"/>
      <c r="AB22" s="79"/>
    </row>
    <row r="23" spans="1:28" x14ac:dyDescent="0.35">
      <c r="J23" s="70" t="s">
        <v>404</v>
      </c>
      <c r="K23" s="63"/>
      <c r="L23" s="63"/>
      <c r="M23" s="63"/>
      <c r="N23" s="63"/>
      <c r="O23" s="63"/>
      <c r="P23" s="63"/>
      <c r="Q23" s="63"/>
      <c r="R23" s="71">
        <f>S21</f>
        <v>0</v>
      </c>
      <c r="S23" s="77"/>
      <c r="AB23" s="79" t="b">
        <v>0</v>
      </c>
    </row>
    <row r="24" spans="1:28" x14ac:dyDescent="0.35">
      <c r="A24" s="149" t="str">
        <f>IF(AND(I5=2,AB17,AB18=FALSE,AB28,AB29=FALSE,AB31=FALSE,AB32=FALSE),"ადრეული კარდიოვერსია",IF(AND(I5=2,AB17,AB18=FALSE,AB28=FALSE,AB29,AB31,AB32=FALSE),"ადრეული კარდიოვერსია",IF(AND(I5=3,AB28=FALSE,AB29,AB31,AB32=FALSE),"ადრეული კარდიოვერსია",IF(AND(I5=2,AB17=FALSE,AB18,AB28=FALSE,AB29,AB31,AB32=FALSE),"გადადეთ კარდიოვერსია და დაიწყეთ ხანგრძლივი ანტიკოაგულაცია",IF(AND(I5=3,AB28=FALSE,AB29,AB31=FALSE,AB32),"გადადეთ კარდიოვერსია და დაიწყეთ ხანგრძლივი ანტიკოაგულაცია",IF(AND(I5=2,AB17=FALSE,AB18,AB28,AB29=FALSE,AB31=FALSE,AB32=FALSE),"გადადეთ კარდიოვერსია და დაიწყეთ ხანგრძლივი ანტიკოაგულაცია",IF(AND(I5=2,AB28=FALSE,AB29,AB31=FALSE,AB32),"ადრეული კარდიოვერსია",IF(AND(I5=3,AB28,AB29=FALSE),"ადრეული კარდიოვერსია",""))))))))</f>
        <v/>
      </c>
      <c r="B24" s="149"/>
      <c r="C24" s="149"/>
      <c r="D24" s="149"/>
      <c r="E24" s="149"/>
      <c r="F24" s="149"/>
      <c r="G24" s="149"/>
      <c r="H24" s="149"/>
      <c r="I24" s="149"/>
      <c r="J24" s="63"/>
      <c r="K24" s="63"/>
      <c r="L24" s="63"/>
      <c r="M24" s="63"/>
      <c r="N24" s="63"/>
      <c r="O24" s="63"/>
      <c r="P24" s="63"/>
      <c r="Q24" s="63"/>
      <c r="R24" s="63"/>
      <c r="S24" s="77"/>
      <c r="AB24" s="79"/>
    </row>
    <row r="25" spans="1:28" x14ac:dyDescent="0.35">
      <c r="J25" s="70" t="s">
        <v>405</v>
      </c>
      <c r="K25" s="63"/>
      <c r="L25" s="63"/>
      <c r="M25" s="63"/>
      <c r="N25" s="63"/>
      <c r="O25" s="63"/>
      <c r="P25" s="63"/>
      <c r="Q25" s="63"/>
      <c r="R25" s="71" t="str">
        <f>IF(R23=0,"0.2%",IF(R23=1,"0.6%",IF(R23=2,"2.2%",IF(R23=3,"3.2%",IF(R23=4,"4.8%",IF(R23=5,"7.2%",IF(R23=6,"9.7%",IF(R23=7,"11.2%",IF(R23=8,"10.8%",IF(R23=9,"12.2%",""))))))))))</f>
        <v>0.2%</v>
      </c>
      <c r="S25" s="77"/>
      <c r="AB25" s="79" t="b">
        <v>0</v>
      </c>
    </row>
    <row r="26" spans="1:28" x14ac:dyDescent="0.35">
      <c r="A26" s="3" t="str">
        <f>IF(A24="ადრეული კარდიოვერსია","პოსტკარდიოვერსიული ანტიკოაგულაციის ხანგრძლივობა:","")</f>
        <v/>
      </c>
      <c r="J26" s="63"/>
      <c r="K26" s="63"/>
      <c r="L26" s="63"/>
      <c r="M26" s="63"/>
      <c r="N26" s="63"/>
      <c r="O26" s="63"/>
      <c r="P26" s="63"/>
      <c r="Q26" s="63"/>
      <c r="R26" s="63"/>
      <c r="S26" s="77"/>
      <c r="AB26" s="79"/>
    </row>
    <row r="27" spans="1:28" x14ac:dyDescent="0.35">
      <c r="J27" s="70" t="s">
        <v>406</v>
      </c>
      <c r="K27" s="63"/>
      <c r="L27" s="63"/>
      <c r="M27" s="63"/>
      <c r="N27" s="63"/>
      <c r="O27" s="63"/>
      <c r="P27" s="63"/>
      <c r="Q27" s="63"/>
      <c r="R27" s="71" t="str">
        <f>IF(R23=0,"0.3%",IF(R23=1,"0.9%",IF(R23=2,"2.9%",IF(R23=3,"4.6%",IF(R23=4,"6.7%",IF(R23=5,"10.0%",IF(R23=6,"13.6%",IF(R23=7,"15.7%",IF(R23=8,"15.2%",IF(R23=9,"17.4%",""))))))))))</f>
        <v>0.3%</v>
      </c>
      <c r="S27" s="77"/>
      <c r="AB27" s="79"/>
    </row>
    <row r="28" spans="1:28" x14ac:dyDescent="0.35">
      <c r="A28" s="103" t="str">
        <f>IF(A24="ადრეული კარდიოვერსია","* ცხოვრების მანძილზე თუ CHA2DS2-VASc ქულა ≥1 (კაცი) /≥2 (ქალი), როგორც წინაგულების ციმციმის პარქოსიზმული ან პერსისტული ფორმების დროს","")</f>
        <v/>
      </c>
      <c r="B28" s="103"/>
      <c r="C28" s="103"/>
      <c r="D28" s="103"/>
      <c r="E28" s="103"/>
      <c r="F28" s="103"/>
      <c r="G28" s="103"/>
      <c r="H28" s="103"/>
      <c r="I28" s="103"/>
      <c r="J28" s="63"/>
      <c r="K28" s="63"/>
      <c r="L28" s="63"/>
      <c r="M28" s="63"/>
      <c r="N28" s="63"/>
      <c r="O28" s="63"/>
      <c r="P28" s="63"/>
      <c r="Q28" s="63"/>
      <c r="R28" s="63"/>
      <c r="S28" s="77"/>
      <c r="AB28" s="79" t="b">
        <v>0</v>
      </c>
    </row>
    <row r="29" spans="1:28" x14ac:dyDescent="0.35">
      <c r="A29" s="103"/>
      <c r="B29" s="103"/>
      <c r="C29" s="103"/>
      <c r="D29" s="103"/>
      <c r="E29" s="103"/>
      <c r="F29" s="103"/>
      <c r="G29" s="103"/>
      <c r="H29" s="103"/>
      <c r="I29" s="103"/>
      <c r="J29" s="63"/>
      <c r="K29" s="63"/>
      <c r="L29" s="63"/>
      <c r="M29" s="63"/>
      <c r="N29" s="63"/>
      <c r="O29" s="63"/>
      <c r="P29" s="63"/>
      <c r="Q29" s="63"/>
      <c r="R29" s="63"/>
      <c r="S29" s="77"/>
      <c r="AB29" s="79" t="b">
        <v>0</v>
      </c>
    </row>
    <row r="30" spans="1:28" x14ac:dyDescent="0.35">
      <c r="J30" s="63"/>
      <c r="K30" s="63"/>
      <c r="L30" s="63"/>
      <c r="M30" s="63"/>
      <c r="N30" s="63"/>
      <c r="O30" s="63"/>
      <c r="P30" s="63"/>
      <c r="Q30" s="63"/>
      <c r="R30" s="63"/>
      <c r="S30" s="77"/>
      <c r="AB30" s="79"/>
    </row>
    <row r="31" spans="1:28" ht="15" customHeight="1" x14ac:dyDescent="0.35">
      <c r="A31" s="103" t="str">
        <f>IF(AND(I5=2,A24="ადრეული კარდიოვერსია",AB28,AB29=FALSE,AB31=FALSE,AB32=FALSE),"* 4 კვირის განმავლობაში, თუ CHA2DS2-VASc ქულა =0 (კაცი) /=1 (ქალი) და წინაგულების ციმციმის ხანგრძლივობა ≥48 სთ",IF(AND(I5=3,A24="ადრეული კარდიოვერსია",AB28,AB29=FALSE),"* 4 კვირის განმავლობაში, თუ CHA2DS2-VASc ქულა =0 (კაცი) /=1 (ქალი) და წინაგულების ციმციმის ხანგრძლივობა ≥48 სთ",IF(AND(I5=3,A24="ადრეული კარდიოვერსია",AB28=FALSE,AB29,AB31,AB32=FALSE),"* 4 კვირის განმავლობაში, თუ CHA2DS2-VASc ქულა =0 (კაცი) /=1 (ქალი) და წინაგულების ციმციმის ხანგრძლივობა ≥48 სთ",IF(AND(I5=2,AB28=FALSE,AB29,AB31,AB32=FALSE,AB17),"* გაურკვეველია, თუ CHA2DS2-VASc ქულა =0 (კაცი) /=1 (ქალი) და წინაგულების ციმციმის ხანგრძლივობა ≤48 სთ. ≤24 სთ ხანგრძლივობის წინაგულების ციმციმის შემთხვევაში, შესაძლებელია NOAC-ების გამოყენებისგან თავის შეკავება",IF(AND(I5=2,AB28=FALSE,AB29,AB31=FALSE,AB32),"* გაურკვეველია, თუ CHA2DS2-VASc ქულა =0 (კაცი) /=1 (ქალი) და წინაგულების ციმციმის ხანგრძლივობა ≤48 სთ. ≤24 სთ ხანგრძლივობის წინაგულების ციმციმის შემთხვევაში, შესაძლებელია NOAC-ების გამოყენებისგან თავის შეკავება","")))))</f>
        <v/>
      </c>
      <c r="B31" s="103"/>
      <c r="C31" s="103"/>
      <c r="D31" s="103"/>
      <c r="E31" s="103"/>
      <c r="F31" s="103"/>
      <c r="G31" s="103"/>
      <c r="H31" s="103"/>
      <c r="I31" s="103"/>
      <c r="J31" s="162" t="s">
        <v>407</v>
      </c>
      <c r="K31" s="162"/>
      <c r="L31" s="162"/>
      <c r="M31" s="162"/>
      <c r="N31" s="162"/>
      <c r="O31" s="162"/>
      <c r="P31" s="162"/>
      <c r="Q31" s="162"/>
      <c r="R31" s="162"/>
      <c r="S31" s="81"/>
      <c r="AB31" s="79" t="b">
        <v>0</v>
      </c>
    </row>
    <row r="32" spans="1:28" x14ac:dyDescent="0.35">
      <c r="A32" s="103"/>
      <c r="B32" s="103"/>
      <c r="C32" s="103"/>
      <c r="D32" s="103"/>
      <c r="E32" s="103"/>
      <c r="F32" s="103"/>
      <c r="G32" s="103"/>
      <c r="H32" s="103"/>
      <c r="I32" s="103"/>
      <c r="J32" s="162"/>
      <c r="K32" s="162"/>
      <c r="L32" s="162"/>
      <c r="M32" s="162"/>
      <c r="N32" s="162"/>
      <c r="O32" s="162"/>
      <c r="P32" s="162"/>
      <c r="Q32" s="162"/>
      <c r="R32" s="162"/>
      <c r="S32" s="81"/>
      <c r="AB32" s="79" t="b">
        <v>0</v>
      </c>
    </row>
    <row r="33" spans="1:19" x14ac:dyDescent="0.35">
      <c r="A33" s="103"/>
      <c r="B33" s="103"/>
      <c r="C33" s="103"/>
      <c r="D33" s="103"/>
      <c r="E33" s="103"/>
      <c r="F33" s="103"/>
      <c r="G33" s="103"/>
      <c r="H33" s="103"/>
      <c r="I33" s="103"/>
      <c r="J33" s="162"/>
      <c r="K33" s="162"/>
      <c r="L33" s="162"/>
      <c r="M33" s="162"/>
      <c r="N33" s="162"/>
      <c r="O33" s="162"/>
      <c r="P33" s="162"/>
      <c r="Q33" s="162"/>
      <c r="R33" s="162"/>
      <c r="S33" s="81"/>
    </row>
    <row r="34" spans="1:19" x14ac:dyDescent="0.35">
      <c r="J34" s="162"/>
      <c r="K34" s="162"/>
      <c r="L34" s="162"/>
      <c r="M34" s="162"/>
      <c r="N34" s="162"/>
      <c r="O34" s="162"/>
      <c r="P34" s="162"/>
      <c r="Q34" s="162"/>
      <c r="R34" s="162"/>
      <c r="S34" s="81"/>
    </row>
    <row r="35" spans="1:19" x14ac:dyDescent="0.35">
      <c r="A35" s="164" t="str">
        <f>IF(AND(I5=2,AB28,AB29=FALSE),"გვიანი კარდიოვერსია:",IF(AND(I5=2,AB28=FALSE,AB29,AB31,AB32=FALSE),"გვიანი კარდიოვერსია",""))</f>
        <v/>
      </c>
      <c r="B35" s="164"/>
      <c r="C35" s="164"/>
      <c r="D35" s="164"/>
      <c r="E35" s="164"/>
      <c r="F35" s="164"/>
      <c r="G35" s="164"/>
      <c r="H35" s="164"/>
      <c r="I35" s="164"/>
      <c r="J35" s="162"/>
      <c r="K35" s="162"/>
      <c r="L35" s="162"/>
      <c r="M35" s="162"/>
      <c r="N35" s="162"/>
      <c r="O35" s="162"/>
      <c r="P35" s="162"/>
      <c r="Q35" s="162"/>
      <c r="R35" s="162"/>
    </row>
    <row r="36" spans="1:19" x14ac:dyDescent="0.35">
      <c r="A36" s="11" t="str">
        <f>IF(AND(I5=2,AB28,AB29=FALSE),"* დაიწყეთ NOAC კარდიოვერსიამდე ≥3 კვირით ადრე",IF(AND(I5=2,AB28=FALSE,AB29,AB31,AB32=FALSE),"* დაიწყეთ NOAC კარდიოვერსიამდე ≥3 კვირით ადრე",""))</f>
        <v/>
      </c>
      <c r="B36" s="11"/>
      <c r="C36" s="11"/>
      <c r="D36" s="11"/>
      <c r="E36" s="11"/>
      <c r="F36" s="11"/>
      <c r="G36" s="11"/>
      <c r="H36" s="11"/>
      <c r="I36" s="11"/>
    </row>
    <row r="37" spans="1:19" x14ac:dyDescent="0.35">
      <c r="A37" s="3"/>
    </row>
    <row r="38" spans="1:19" x14ac:dyDescent="0.35">
      <c r="A38" s="105" t="str">
        <f>IF(AND(I5=2,AB28,AB29=FALSE),"პაციენტის მხრიდან მაღალი მიმდევრობა/დამყოლობა",IF(AND(I5=2,AB28=FALSE,AB29,AB31,AB32=FALSE),"პაციენტის მხრიდან მაღალი მიმდევრობა/დამყოლობა",""))</f>
        <v/>
      </c>
      <c r="B38" s="105"/>
      <c r="C38" s="105"/>
      <c r="D38" s="105"/>
      <c r="E38" s="105"/>
      <c r="F38" s="105"/>
      <c r="G38" s="105"/>
      <c r="H38" s="105"/>
      <c r="I38" s="105"/>
    </row>
    <row r="40" spans="1:19" ht="15" customHeight="1" x14ac:dyDescent="0.35">
      <c r="A40" s="103" t="str">
        <f>IF(AND(I5=2,AB28,AB29=FALSE),"დაბალი მიმდევრობა/დამყოლობა ან ეჭვი წინაგულოვან თრომბზე",IF(AND(I5=2,AB28=FALSE,AB29,AB31,AB32=FALSE),"დაბალი მიმდევრობა/დამყოლობა ან ეჭვი წინაგულოვან თრომბზე",""))</f>
        <v/>
      </c>
      <c r="B40" s="103"/>
      <c r="C40" s="103"/>
      <c r="D40" s="103"/>
      <c r="E40" s="103"/>
      <c r="F40" s="103"/>
      <c r="G40" s="103"/>
      <c r="H40" s="103"/>
      <c r="I40" s="103"/>
    </row>
    <row r="42" spans="1:19" x14ac:dyDescent="0.35">
      <c r="A42" s="105" t="str">
        <f>IF(AB21,"მარცხენა წინაგულის ღრუში/ყურში არ არის თრომბული მასა",IF(AND(I5=2,AB20=FALSE,AB21,AB28=FALSE,AB29,AB31,AB32=FALSE),"მარცხენა წინაგულის ღრუში/ყურში არ არის თრომბული მასა",""))</f>
        <v/>
      </c>
      <c r="B42" s="105"/>
      <c r="C42" s="105"/>
      <c r="D42" s="105"/>
      <c r="E42" s="105"/>
      <c r="F42" s="105"/>
      <c r="G42" s="105"/>
      <c r="H42" s="105"/>
      <c r="I42" s="105"/>
    </row>
    <row r="44" spans="1:19" x14ac:dyDescent="0.35">
      <c r="A44" s="105" t="str">
        <f>IF(AB21,"მარცხენა წინაგულის ღრუში/ყურში არის თრომბული მასა",IF(AND(I5=2,AB20=FALSE,AB21,AB28=FALSE,AB29,AB31,AB32=FALSE),"მარცხენა წინაგულის ღრუში/ყურში არ არის თრომბული მასა",""))</f>
        <v/>
      </c>
      <c r="B44" s="105"/>
      <c r="C44" s="105"/>
      <c r="D44" s="105"/>
      <c r="E44" s="105"/>
      <c r="F44" s="105"/>
      <c r="G44" s="105"/>
      <c r="H44" s="105"/>
      <c r="I44" s="105"/>
    </row>
    <row r="46" spans="1:19" x14ac:dyDescent="0.35">
      <c r="A46" s="94" t="str">
        <f>IF(AND(AB20,AB21=FALSE,AB23=FALSE,AB25=FALSE),"კარდიოვერსია",IF(AND(AB20=FALSE,AB21,AB23=FALSE,AB25),"გადადეთ კარდიოვერსია და გააგრძელეთ ანტიკოაგულაცია",IF(AND(AB20=FALSE,AB21,AB23,AB25=FALSE),"კარდიოვერსია","")))</f>
        <v/>
      </c>
      <c r="B46" s="94"/>
      <c r="C46" s="94"/>
      <c r="D46" s="94"/>
      <c r="E46" s="94"/>
      <c r="F46" s="94"/>
      <c r="G46" s="94"/>
      <c r="H46" s="94"/>
      <c r="I46" s="94"/>
    </row>
    <row r="48" spans="1:19" x14ac:dyDescent="0.35">
      <c r="A48" s="3" t="str">
        <f>IF(A46="კარდიოვერსია","პოსტკარდიოვერსიული ანტიკოაგულაციის ხანგრძლივობა:","")</f>
        <v/>
      </c>
    </row>
    <row r="50" spans="1:9" x14ac:dyDescent="0.35">
      <c r="A50" s="103" t="str">
        <f>IF(A46="კარდიოვერსია","* ცხოვრების მანძილზე თუ CHA2DS2-VASc ქულა ≥1 (კაცი) /≥2 (ქალი), როგორც წინაგულების ციმციმის პარქოსიზმული ან პერსისტული ფორმების დროს","")</f>
        <v/>
      </c>
      <c r="B50" s="103"/>
      <c r="C50" s="103"/>
      <c r="D50" s="103"/>
      <c r="E50" s="103"/>
      <c r="F50" s="103"/>
      <c r="G50" s="103"/>
      <c r="H50" s="103"/>
      <c r="I50" s="103"/>
    </row>
    <row r="51" spans="1:9" x14ac:dyDescent="0.35">
      <c r="A51" s="103"/>
      <c r="B51" s="103"/>
      <c r="C51" s="103"/>
      <c r="D51" s="103"/>
      <c r="E51" s="103"/>
      <c r="F51" s="103"/>
      <c r="G51" s="103"/>
      <c r="H51" s="103"/>
      <c r="I51" s="103"/>
    </row>
    <row r="53" spans="1:9" ht="15" customHeight="1" x14ac:dyDescent="0.35">
      <c r="A53" s="103" t="str">
        <f>IF(AND(A46="კარდიოვერსია",AB28,AB29=FALSE,AB20,AB21=FALSE,AB23=FALSE,AB25=FALSE),"* 4 კვირის განმავლობაში, თუ CHA2DS2-VASc ქულა =0 (კაცი) /=1 (ქალი) და წინაგულების ციმციმის ხანგრძლივობა ≥48 სთ",IF(AND(A46="კარდიოვერსია",AB28,AB29=FALSE,AB20=FALSE,AB21,AB23,AB25=FALSE),"* 4 კვირის განმავლობაში, თუ CHA2DS2-VASc ქულა =0 (კაცი) /=1 (ქალი) და წინაგულების ციმციმის ხანგრძლივობა ≥48 სთ",IF(AND(A46="კარდიოვერსია",AB28=FALSE,AB29,AB20,AB21=FALSE,AB23=FALSE,AB25=FALSE),"* გაურკვეველია, თუ CHA2DS2-VASc ქულა =0 (კაცი) /=1 (ქალი) და წინაგულების ციმციმის ხანგრძლივობა ≤48 სთ. ≤24 სთ ხანგრძლივობის წინაგულების ციმციმის შემთხვევაში, შესაძლებელია NOAC-ების გამოყენებისგან თავის შეკავება",IF(AND(A46="კარდიოვერსია",AB20=FALSE,AB21,AB23,AB25=FALSE),"* გაურკვეველია, თუ CHA2DS2-VASc ქულა =0 (კაცი) /=1 (ქალი) და წინაგულების ციმციმის ხანგრძლივობა ≤48 სთ. ≤24 სთ ხანგრძლივობის წინაგულების ციმციმის შემთხვევაში, შესაძლებელია NOAC-ების გამოყენებისგან თავის შეკავება",""))))</f>
        <v/>
      </c>
      <c r="B53" s="103"/>
      <c r="C53" s="103"/>
      <c r="D53" s="103"/>
      <c r="E53" s="103"/>
      <c r="F53" s="103"/>
      <c r="G53" s="103"/>
      <c r="H53" s="103"/>
      <c r="I53" s="103"/>
    </row>
    <row r="54" spans="1:9" ht="15" customHeight="1" x14ac:dyDescent="0.35">
      <c r="A54" s="103"/>
      <c r="B54" s="103"/>
      <c r="C54" s="103"/>
      <c r="D54" s="103"/>
      <c r="E54" s="103"/>
      <c r="F54" s="103"/>
      <c r="G54" s="103"/>
      <c r="H54" s="103"/>
      <c r="I54" s="103"/>
    </row>
    <row r="55" spans="1:9" x14ac:dyDescent="0.35">
      <c r="A55" s="103"/>
      <c r="B55" s="103"/>
      <c r="C55" s="103"/>
      <c r="D55" s="103"/>
      <c r="E55" s="103"/>
      <c r="F55" s="103"/>
      <c r="G55" s="103"/>
      <c r="H55" s="103"/>
      <c r="I55" s="103"/>
    </row>
  </sheetData>
  <sheetProtection algorithmName="SHA-512" hashValue="ZKVpDukoXDTtZRUiFGSRpW0rdwWueVr+aGGeHVxTS0HXeEUNY+c7Z0TSNvbCrAya+MR1dVg7kB07ZLY1M0jTBw==" saltValue="G+O6K2C96VEpPkOOh93/Tg==" spinCount="100000" sheet="1" objects="1" scenarios="1"/>
  <mergeCells count="26">
    <mergeCell ref="J1:R3"/>
    <mergeCell ref="J31:R35"/>
    <mergeCell ref="A50:I51"/>
    <mergeCell ref="A11:G12"/>
    <mergeCell ref="A14:G15"/>
    <mergeCell ref="A31:I33"/>
    <mergeCell ref="A35:I35"/>
    <mergeCell ref="A1:I3"/>
    <mergeCell ref="A20:I20"/>
    <mergeCell ref="A24:I24"/>
    <mergeCell ref="A28:I29"/>
    <mergeCell ref="A22:I22"/>
    <mergeCell ref="A17:I17"/>
    <mergeCell ref="K6:P6"/>
    <mergeCell ref="K8:L8"/>
    <mergeCell ref="J11:Q11"/>
    <mergeCell ref="J13:Q13"/>
    <mergeCell ref="J15:Q15"/>
    <mergeCell ref="J17:Q17"/>
    <mergeCell ref="J20:Q20"/>
    <mergeCell ref="A53:I55"/>
    <mergeCell ref="A38:I38"/>
    <mergeCell ref="A40:I40"/>
    <mergeCell ref="A46:I46"/>
    <mergeCell ref="A42:I42"/>
    <mergeCell ref="A44:I44"/>
  </mergeCells>
  <conditionalFormatting sqref="A24:I24">
    <cfRule type="containsText" dxfId="32" priority="12" operator="containsText" text="გადადეთ">
      <formula>NOT(ISERROR(SEARCH("გადადეთ",A24)))</formula>
    </cfRule>
    <cfRule type="containsText" dxfId="31" priority="16" operator="containsText" text="ადრეული">
      <formula>NOT(ISERROR(SEARCH("ადრეული",A24)))</formula>
    </cfRule>
  </conditionalFormatting>
  <conditionalFormatting sqref="A20:I20">
    <cfRule type="containsText" dxfId="30" priority="15" operator="containsText" text="არ">
      <formula>NOT(ISERROR(SEARCH("არ",A20)))</formula>
    </cfRule>
  </conditionalFormatting>
  <conditionalFormatting sqref="A22:I22">
    <cfRule type="containsText" dxfId="29" priority="14" operator="containsText" text="არის">
      <formula>NOT(ISERROR(SEARCH("არის",A22)))</formula>
    </cfRule>
  </conditionalFormatting>
  <conditionalFormatting sqref="A38:I38">
    <cfRule type="containsText" dxfId="28" priority="11" operator="containsText" text="მაღალი">
      <formula>NOT(ISERROR(SEARCH("მაღალი",A38)))</formula>
    </cfRule>
  </conditionalFormatting>
  <conditionalFormatting sqref="A40:I40">
    <cfRule type="containsText" dxfId="27" priority="10" operator="containsText" text="დაბალი">
      <formula>NOT(ISERROR(SEARCH("დაბალი",A40)))</formula>
    </cfRule>
  </conditionalFormatting>
  <conditionalFormatting sqref="A46:I46">
    <cfRule type="containsText" dxfId="26" priority="7" operator="containsText" text="გადადეთ">
      <formula>NOT(ISERROR(SEARCH("გადადეთ",A46)))</formula>
    </cfRule>
    <cfRule type="containsText" dxfId="25" priority="9" operator="containsText" text="კარდიოვერსია">
      <formula>NOT(ISERROR(SEARCH("კარდიოვერსია",A46)))</formula>
    </cfRule>
  </conditionalFormatting>
  <conditionalFormatting sqref="A42:I42">
    <cfRule type="notContainsBlanks" dxfId="24" priority="6">
      <formula>LEN(TRIM(A42))&gt;0</formula>
    </cfRule>
  </conditionalFormatting>
  <conditionalFormatting sqref="A44:I44">
    <cfRule type="notContainsBlanks" dxfId="23" priority="5">
      <formula>LEN(TRIM(A44))&gt;0</formula>
    </cfRule>
  </conditionalFormatting>
  <conditionalFormatting sqref="A17:I17">
    <cfRule type="notContainsBlanks" dxfId="22" priority="20">
      <formula>LEN(TRIM(A17))&gt;0</formula>
    </cfRule>
  </conditionalFormatting>
  <conditionalFormatting sqref="A35:I35">
    <cfRule type="notContainsBlanks" dxfId="21" priority="19">
      <formula>LEN(TRIM(A35))&gt;0</formula>
    </cfRule>
  </conditionalFormatting>
  <conditionalFormatting sqref="A11:G12">
    <cfRule type="containsText" dxfId="20" priority="2" operator="containsText" text="არ არის ">
      <formula>NOT(ISERROR(SEARCH("არ არის ",A11)))</formula>
    </cfRule>
  </conditionalFormatting>
  <conditionalFormatting sqref="A14:G15">
    <cfRule type="containsText" dxfId="19" priority="1" operator="containsText" text="თრომბი">
      <formula>NOT(ISERROR(SEARCH("თრომბი",A14)))</formula>
    </cfRule>
  </conditionalFormatting>
  <hyperlinks>
    <hyperlink ref="A1:I3" location="Main!A1" display="კარდიოვერსია და NOAC თერაპია" xr:uid="{00000000-0004-0000-0D00-000000000000}"/>
  </hyperlink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autoLine="0" autoPict="0">
                <anchor moveWithCells="1">
                  <from>
                    <xdr:col>3</xdr:col>
                    <xdr:colOff>165100</xdr:colOff>
                    <xdr:row>4</xdr:row>
                    <xdr:rowOff>0</xdr:rowOff>
                  </from>
                  <to>
                    <xdr:col>8</xdr:col>
                    <xdr:colOff>603250</xdr:colOff>
                    <xdr:row>5</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495300</xdr:colOff>
                    <xdr:row>18</xdr:row>
                    <xdr:rowOff>184150</xdr:rowOff>
                  </from>
                  <to>
                    <xdr:col>8</xdr:col>
                    <xdr:colOff>584200</xdr:colOff>
                    <xdr:row>20</xdr:row>
                    <xdr:rowOff>12700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7</xdr:col>
                    <xdr:colOff>495300</xdr:colOff>
                    <xdr:row>20</xdr:row>
                    <xdr:rowOff>184150</xdr:rowOff>
                  </from>
                  <to>
                    <xdr:col>8</xdr:col>
                    <xdr:colOff>584200</xdr:colOff>
                    <xdr:row>22</xdr:row>
                    <xdr:rowOff>12700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7</xdr:col>
                    <xdr:colOff>514350</xdr:colOff>
                    <xdr:row>36</xdr:row>
                    <xdr:rowOff>184150</xdr:rowOff>
                  </from>
                  <to>
                    <xdr:col>8</xdr:col>
                    <xdr:colOff>603250</xdr:colOff>
                    <xdr:row>38</xdr:row>
                    <xdr:rowOff>12700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7</xdr:col>
                    <xdr:colOff>514350</xdr:colOff>
                    <xdr:row>38</xdr:row>
                    <xdr:rowOff>184150</xdr:rowOff>
                  </from>
                  <to>
                    <xdr:col>8</xdr:col>
                    <xdr:colOff>603250</xdr:colOff>
                    <xdr:row>40</xdr:row>
                    <xdr:rowOff>12700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7</xdr:col>
                    <xdr:colOff>514350</xdr:colOff>
                    <xdr:row>40</xdr:row>
                    <xdr:rowOff>184150</xdr:rowOff>
                  </from>
                  <to>
                    <xdr:col>8</xdr:col>
                    <xdr:colOff>603250</xdr:colOff>
                    <xdr:row>42</xdr:row>
                    <xdr:rowOff>12700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7</xdr:col>
                    <xdr:colOff>514350</xdr:colOff>
                    <xdr:row>42</xdr:row>
                    <xdr:rowOff>184150</xdr:rowOff>
                  </from>
                  <to>
                    <xdr:col>8</xdr:col>
                    <xdr:colOff>603250</xdr:colOff>
                    <xdr:row>44</xdr:row>
                    <xdr:rowOff>12700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7</xdr:col>
                    <xdr:colOff>495300</xdr:colOff>
                    <xdr:row>6</xdr:row>
                    <xdr:rowOff>0</xdr:rowOff>
                  </from>
                  <to>
                    <xdr:col>8</xdr:col>
                    <xdr:colOff>584200</xdr:colOff>
                    <xdr:row>7</xdr:row>
                    <xdr:rowOff>12700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7</xdr:col>
                    <xdr:colOff>495300</xdr:colOff>
                    <xdr:row>7</xdr:row>
                    <xdr:rowOff>184150</xdr:rowOff>
                  </from>
                  <to>
                    <xdr:col>8</xdr:col>
                    <xdr:colOff>584200</xdr:colOff>
                    <xdr:row>9</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7</xdr:col>
                    <xdr:colOff>488950</xdr:colOff>
                    <xdr:row>9</xdr:row>
                    <xdr:rowOff>171450</xdr:rowOff>
                  </from>
                  <to>
                    <xdr:col>8</xdr:col>
                    <xdr:colOff>571500</xdr:colOff>
                    <xdr:row>11</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7</xdr:col>
                    <xdr:colOff>476250</xdr:colOff>
                    <xdr:row>12</xdr:row>
                    <xdr:rowOff>184150</xdr:rowOff>
                  </from>
                  <to>
                    <xdr:col>8</xdr:col>
                    <xdr:colOff>565150</xdr:colOff>
                    <xdr:row>14</xdr:row>
                    <xdr:rowOff>12700</xdr:rowOff>
                  </to>
                </anchor>
              </controlPr>
            </control>
          </mc:Choice>
        </mc:AlternateContent>
        <mc:AlternateContent xmlns:mc="http://schemas.openxmlformats.org/markup-compatibility/2006">
          <mc:Choice Requires="x14">
            <control shapeId="14348" r:id="rId15" name="Option Button 12">
              <controlPr defaultSize="0" autoFill="0" autoLine="0" autoPict="0">
                <anchor moveWithCells="1">
                  <from>
                    <xdr:col>13</xdr:col>
                    <xdr:colOff>31750</xdr:colOff>
                    <xdr:row>7</xdr:row>
                    <xdr:rowOff>12700</xdr:rowOff>
                  </from>
                  <to>
                    <xdr:col>13</xdr:col>
                    <xdr:colOff>317500</xdr:colOff>
                    <xdr:row>8</xdr:row>
                    <xdr:rowOff>19050</xdr:rowOff>
                  </to>
                </anchor>
              </controlPr>
            </control>
          </mc:Choice>
        </mc:AlternateContent>
        <mc:AlternateContent xmlns:mc="http://schemas.openxmlformats.org/markup-compatibility/2006">
          <mc:Choice Requires="x14">
            <control shapeId="14349" r:id="rId16" name="Option Button 13">
              <controlPr defaultSize="0" autoFill="0" autoLine="0" autoPict="0">
                <anchor moveWithCells="1">
                  <from>
                    <xdr:col>14</xdr:col>
                    <xdr:colOff>393700</xdr:colOff>
                    <xdr:row>7</xdr:row>
                    <xdr:rowOff>0</xdr:rowOff>
                  </from>
                  <to>
                    <xdr:col>15</xdr:col>
                    <xdr:colOff>38100</xdr:colOff>
                    <xdr:row>8</xdr:row>
                    <xdr:rowOff>19050</xdr:rowOff>
                  </to>
                </anchor>
              </controlPr>
            </control>
          </mc:Choice>
        </mc:AlternateContent>
        <mc:AlternateContent xmlns:mc="http://schemas.openxmlformats.org/markup-compatibility/2006">
          <mc:Choice Requires="x14">
            <control shapeId="14350" r:id="rId17" name="Drop Down 14">
              <controlPr defaultSize="0" autoLine="0" autoPict="0">
                <anchor moveWithCells="1">
                  <from>
                    <xdr:col>16</xdr:col>
                    <xdr:colOff>603250</xdr:colOff>
                    <xdr:row>10</xdr:row>
                    <xdr:rowOff>0</xdr:rowOff>
                  </from>
                  <to>
                    <xdr:col>17</xdr:col>
                    <xdr:colOff>584200</xdr:colOff>
                    <xdr:row>11</xdr:row>
                    <xdr:rowOff>31750</xdr:rowOff>
                  </to>
                </anchor>
              </controlPr>
            </control>
          </mc:Choice>
        </mc:AlternateContent>
        <mc:AlternateContent xmlns:mc="http://schemas.openxmlformats.org/markup-compatibility/2006">
          <mc:Choice Requires="x14">
            <control shapeId="14351" r:id="rId18" name="Drop Down 15">
              <controlPr defaultSize="0" autoLine="0" autoPict="0">
                <anchor moveWithCells="1">
                  <from>
                    <xdr:col>16</xdr:col>
                    <xdr:colOff>603250</xdr:colOff>
                    <xdr:row>12</xdr:row>
                    <xdr:rowOff>0</xdr:rowOff>
                  </from>
                  <to>
                    <xdr:col>17</xdr:col>
                    <xdr:colOff>584200</xdr:colOff>
                    <xdr:row>13</xdr:row>
                    <xdr:rowOff>31750</xdr:rowOff>
                  </to>
                </anchor>
              </controlPr>
            </control>
          </mc:Choice>
        </mc:AlternateContent>
        <mc:AlternateContent xmlns:mc="http://schemas.openxmlformats.org/markup-compatibility/2006">
          <mc:Choice Requires="x14">
            <control shapeId="14352" r:id="rId19" name="Drop Down 16">
              <controlPr defaultSize="0" autoLine="0" autoPict="0">
                <anchor moveWithCells="1">
                  <from>
                    <xdr:col>16</xdr:col>
                    <xdr:colOff>603250</xdr:colOff>
                    <xdr:row>14</xdr:row>
                    <xdr:rowOff>0</xdr:rowOff>
                  </from>
                  <to>
                    <xdr:col>17</xdr:col>
                    <xdr:colOff>584200</xdr:colOff>
                    <xdr:row>15</xdr:row>
                    <xdr:rowOff>31750</xdr:rowOff>
                  </to>
                </anchor>
              </controlPr>
            </control>
          </mc:Choice>
        </mc:AlternateContent>
        <mc:AlternateContent xmlns:mc="http://schemas.openxmlformats.org/markup-compatibility/2006">
          <mc:Choice Requires="x14">
            <control shapeId="14353" r:id="rId20" name="Drop Down 17">
              <controlPr defaultSize="0" autoLine="0" autoPict="0">
                <anchor moveWithCells="1">
                  <from>
                    <xdr:col>16</xdr:col>
                    <xdr:colOff>603250</xdr:colOff>
                    <xdr:row>16</xdr:row>
                    <xdr:rowOff>184150</xdr:rowOff>
                  </from>
                  <to>
                    <xdr:col>17</xdr:col>
                    <xdr:colOff>584200</xdr:colOff>
                    <xdr:row>18</xdr:row>
                    <xdr:rowOff>19050</xdr:rowOff>
                  </to>
                </anchor>
              </controlPr>
            </control>
          </mc:Choice>
        </mc:AlternateContent>
        <mc:AlternateContent xmlns:mc="http://schemas.openxmlformats.org/markup-compatibility/2006">
          <mc:Choice Requires="x14">
            <control shapeId="14354" r:id="rId21" name="Drop Down 18">
              <controlPr defaultSize="0" autoLine="0" autoPict="0">
                <anchor moveWithCells="1">
                  <from>
                    <xdr:col>16</xdr:col>
                    <xdr:colOff>603250</xdr:colOff>
                    <xdr:row>19</xdr:row>
                    <xdr:rowOff>0</xdr:rowOff>
                  </from>
                  <to>
                    <xdr:col>17</xdr:col>
                    <xdr:colOff>584200</xdr:colOff>
                    <xdr:row>20</xdr:row>
                    <xdr:rowOff>31750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____1"/>
  <dimension ref="A1:AB32"/>
  <sheetViews>
    <sheetView workbookViewId="0">
      <selection sqref="A1:I3"/>
    </sheetView>
  </sheetViews>
  <sheetFormatPr defaultColWidth="9.1796875" defaultRowHeight="14.5" x14ac:dyDescent="0.35"/>
  <cols>
    <col min="1" max="27" width="9.1796875" style="1"/>
    <col min="28" max="28" width="9.1796875" style="17"/>
    <col min="29" max="16384" width="9.1796875" style="1"/>
  </cols>
  <sheetData>
    <row r="1" spans="1:28" x14ac:dyDescent="0.35">
      <c r="A1" s="157" t="s">
        <v>409</v>
      </c>
      <c r="B1" s="157"/>
      <c r="C1" s="157"/>
      <c r="D1" s="157"/>
      <c r="E1" s="157"/>
      <c r="F1" s="157"/>
      <c r="G1" s="157"/>
      <c r="H1" s="157"/>
      <c r="I1" s="158"/>
      <c r="J1" s="169" t="s">
        <v>412</v>
      </c>
      <c r="K1" s="170"/>
      <c r="L1" s="170"/>
      <c r="M1" s="170"/>
      <c r="N1" s="170"/>
      <c r="O1" s="170"/>
      <c r="P1" s="170"/>
      <c r="Q1" s="170"/>
      <c r="R1" s="170"/>
    </row>
    <row r="2" spans="1:28" x14ac:dyDescent="0.35">
      <c r="A2" s="157"/>
      <c r="B2" s="157"/>
      <c r="C2" s="157"/>
      <c r="D2" s="157"/>
      <c r="E2" s="157"/>
      <c r="F2" s="157"/>
      <c r="G2" s="157"/>
      <c r="H2" s="157"/>
      <c r="I2" s="158"/>
      <c r="J2" s="169"/>
      <c r="K2" s="170"/>
      <c r="L2" s="170"/>
      <c r="M2" s="170"/>
      <c r="N2" s="170"/>
      <c r="O2" s="170"/>
      <c r="P2" s="170"/>
      <c r="Q2" s="170"/>
      <c r="R2" s="170"/>
      <c r="AB2" s="17" t="s">
        <v>378</v>
      </c>
    </row>
    <row r="3" spans="1:28" x14ac:dyDescent="0.35">
      <c r="A3" s="157"/>
      <c r="B3" s="157"/>
      <c r="C3" s="157"/>
      <c r="D3" s="157"/>
      <c r="E3" s="157"/>
      <c r="F3" s="157"/>
      <c r="G3" s="157"/>
      <c r="H3" s="157"/>
      <c r="I3" s="158"/>
      <c r="J3" s="169"/>
      <c r="K3" s="170"/>
      <c r="L3" s="170"/>
      <c r="M3" s="170"/>
      <c r="N3" s="170"/>
      <c r="O3" s="170"/>
      <c r="P3" s="170"/>
      <c r="Q3" s="170"/>
      <c r="R3" s="170"/>
      <c r="AB3" s="17" t="s">
        <v>379</v>
      </c>
    </row>
    <row r="4" spans="1:28" x14ac:dyDescent="0.35">
      <c r="I4" s="13"/>
      <c r="R4" s="13"/>
    </row>
    <row r="5" spans="1:28" x14ac:dyDescent="0.35">
      <c r="A5" s="1" t="s">
        <v>411</v>
      </c>
      <c r="I5" s="13">
        <v>1</v>
      </c>
      <c r="J5" s="1" t="s">
        <v>413</v>
      </c>
      <c r="R5" s="13">
        <v>1</v>
      </c>
      <c r="AB5" s="17" t="s">
        <v>414</v>
      </c>
    </row>
    <row r="6" spans="1:28" x14ac:dyDescent="0.35">
      <c r="I6" s="13"/>
      <c r="R6" s="13"/>
      <c r="AB6" s="17" t="s">
        <v>415</v>
      </c>
    </row>
    <row r="7" spans="1:28" x14ac:dyDescent="0.35">
      <c r="A7" s="103" t="str">
        <f>IF(I5=3,"* NOAC-ის ბოლო მიღებიდან გასულია &gt;48 სთ და თირკმლის ფუნქცია შენახულია","")</f>
        <v/>
      </c>
      <c r="B7" s="103"/>
      <c r="C7" s="103"/>
      <c r="D7" s="103"/>
      <c r="E7" s="103"/>
      <c r="F7" s="103"/>
      <c r="G7" s="103"/>
      <c r="I7" s="13">
        <v>1</v>
      </c>
      <c r="J7" s="1" t="str">
        <f>IF(R5=3,"იმიჯინგის შედეგი: ","")</f>
        <v/>
      </c>
      <c r="R7" s="13">
        <v>1</v>
      </c>
    </row>
    <row r="8" spans="1:28" x14ac:dyDescent="0.35">
      <c r="A8" s="103"/>
      <c r="B8" s="103"/>
      <c r="C8" s="103"/>
      <c r="D8" s="103"/>
      <c r="E8" s="103"/>
      <c r="F8" s="103"/>
      <c r="G8" s="103"/>
      <c r="AB8" s="17" t="s">
        <v>416</v>
      </c>
    </row>
    <row r="9" spans="1:28" ht="15" customHeight="1" x14ac:dyDescent="0.35">
      <c r="I9" s="13"/>
      <c r="J9" s="92" t="str">
        <f>IF(AND(R5=3,R7=2),"თუ არ არის კლინიკური გაუარესება, აღადგინეთ/დაიწყეთ NOAC-ით თერაპია",IF(AND(R5=3,R7=3),"თუ არ არის კლინიკური გაუარესება, აღადგინეთ/დაიწყეთ NOAC-ით თერაპია",IF(AND(R5=3,R7=4),"თუ არის კლინიკური გაუმჯობესება ან არ არის გაუარესება, აღადგინეთ/დაიწყეთ NOAC-ით თერაპია",IF(AND(R5=3,R7=5),"თუ NOAC-ის დაწყებამდე ≤1 დღით ადრე გადაღებულ CT/MRT-ზე არ აღინიშნება ჰემორაგიული ტრანსფორმაცია, აღადგინეთ/დაიწყეთ NOAC-ით თერაპია",IF(AND(R5=3,R7=6),"თუ NOAC-ის დაწყებამდე ≤1 დღით ადრე გადაღებულ CT/MRT-ზე არ აღინიშნება ჰემორაგიული ტრანსფორმაცია, აღადგინეთ/დაიწყეთ NOAC-ით თერაპია",IF(R5=2,"თუ აღინიშნება კლინიკური გაუმჯობესება ან არ აღინიშნება კლინიკური გაურესება და NOAC-ის დაწყებამდე ≤1 დღით ადრე გადაღებულ CT/MRT-ზე აღინიშნება ჰემორაგიული ტრანსფორმაციის მნიშვნელოვანი რედუქცია, აღადგინეთ/დაიწყეთ NOAC-ით თერაპია",""))))))</f>
        <v/>
      </c>
      <c r="K9" s="92"/>
      <c r="L9" s="92"/>
      <c r="M9" s="92"/>
      <c r="N9" s="92"/>
      <c r="O9" s="92"/>
      <c r="P9" s="92"/>
      <c r="Q9" s="92"/>
      <c r="R9" s="92"/>
      <c r="AB9" s="17" t="s">
        <v>417</v>
      </c>
    </row>
    <row r="10" spans="1:28" x14ac:dyDescent="0.35">
      <c r="A10" s="107" t="str">
        <f>IF(AND(I5=3,I7=3),"* პაციენტი იღებდა დაბიგატრანს და ხელმისაწვდომია იდარუციზუმაბი","")</f>
        <v/>
      </c>
      <c r="B10" s="107"/>
      <c r="C10" s="107"/>
      <c r="D10" s="107"/>
      <c r="E10" s="107"/>
      <c r="F10" s="107"/>
      <c r="G10" s="107"/>
      <c r="I10" s="13">
        <v>1</v>
      </c>
      <c r="J10" s="92"/>
      <c r="K10" s="92"/>
      <c r="L10" s="92"/>
      <c r="M10" s="92"/>
      <c r="N10" s="92"/>
      <c r="O10" s="92"/>
      <c r="P10" s="92"/>
      <c r="Q10" s="92"/>
      <c r="R10" s="92"/>
      <c r="AB10" s="17" t="s">
        <v>419</v>
      </c>
    </row>
    <row r="11" spans="1:28" x14ac:dyDescent="0.35">
      <c r="A11" s="107"/>
      <c r="B11" s="107"/>
      <c r="C11" s="107"/>
      <c r="D11" s="107"/>
      <c r="E11" s="107"/>
      <c r="F11" s="107"/>
      <c r="G11" s="107"/>
      <c r="J11" s="92"/>
      <c r="K11" s="92"/>
      <c r="L11" s="92"/>
      <c r="M11" s="92"/>
      <c r="N11" s="92"/>
      <c r="O11" s="92"/>
      <c r="P11" s="92"/>
      <c r="Q11" s="92"/>
      <c r="R11" s="92"/>
      <c r="AB11" s="17" t="s">
        <v>418</v>
      </c>
    </row>
    <row r="12" spans="1:28" x14ac:dyDescent="0.35">
      <c r="I12" s="13"/>
      <c r="J12" s="92"/>
      <c r="K12" s="92"/>
      <c r="L12" s="92"/>
      <c r="M12" s="92"/>
      <c r="N12" s="92"/>
      <c r="O12" s="92"/>
      <c r="P12" s="92"/>
      <c r="Q12" s="92"/>
      <c r="R12" s="92"/>
      <c r="AB12" s="17" t="s">
        <v>420</v>
      </c>
    </row>
    <row r="13" spans="1:28" ht="15.5" x14ac:dyDescent="0.35">
      <c r="A13" s="107" t="str">
        <f>IF(AND(I5=3,I7=3,I10=3),"* თირკმლების ფუნქცია შენახულია და პაციენტს აპიქსაბანის, ედოქსაბანის ან რივაროქსაბანის ბოლო დოზა მიღებული აქვს 24-48 სთ-ის ფარგლებში ან ბოლო მიღებიდან &gt;4 სთ-ის შემდეგ, პლაზმის დონე &lt;30 ნგ/მლ","")</f>
        <v/>
      </c>
      <c r="B13" s="107"/>
      <c r="C13" s="107"/>
      <c r="D13" s="107"/>
      <c r="E13" s="107"/>
      <c r="F13" s="107"/>
      <c r="G13" s="107"/>
      <c r="I13" s="13">
        <v>1</v>
      </c>
      <c r="L13" s="171" t="str">
        <f>IF(AND(R5=3,R7=2,J9="თუ არ არის კლინიკური გაუარესება, აღადგინეთ/დაიწყეთ NOAC-ით თერაპია"),"1 დღის შემდეგ",IF(AND(R5=3,R7=3,J9="თუ არ არის კლინიკური გაუარესება, აღადგინეთ/დაიწყეთ NOAC-ით თერაპია"),"1-3 დღის შემდეგ",IF(AND(R5=3,R7=4,J9="თუ არის კლინიკური გაუმჯობესება ან არ არის გაუარესება, აღადგინეთ/დაიწყეთ NOAC-ით თერაპია"),"≥3 დღის შემდეგ",IF(AND(R5=3,R7=5,J9="თუ NOAC-ის დაწყებამდე ≤1 დღით ადრე გადაღებულ CT/MRT-ზე არ აღინიშნება ჰემორაგიული ტრანსფორმაცია, აღადგინეთ/დაიწყეთ NOAC-ით თერაპია"),"≥6-8 დღის შემდეგ",IF(AND(R5=3,R7=6,J9="თუ NOAC-ის დაწყებამდე ≤1 დღით ადრე გადაღებულ CT/MRT-ზე არ აღინიშნება ჰემორაგიული ტრანსფორმაცია, აღადგინეთ/დაიწყეთ NOAC-ით თერაპია"),"≥12-14 დღის შემდეგ",IF(AND(R5=2,J9="თუ აღინიშნება კლინიკური გაუმჯობესება ან არ აღინიშნება კლინიკური გაურესება და NOAC-ის დაწყებამდე ≤1 დღით ადრე გადაღებულ CT/MRT-ზე აღინიშნება ჰემორაგიული ტრანსფორმაციის მნიშვნელოვანი რედუქცია, აღადგინეთ/დაიწყეთ NOAC-ით თერაპია"),"≥3-28 დღის შემდეგ",""))))))</f>
        <v/>
      </c>
      <c r="M13" s="171"/>
      <c r="N13" s="171"/>
      <c r="O13" s="171"/>
      <c r="P13" s="171"/>
    </row>
    <row r="14" spans="1:28" x14ac:dyDescent="0.35">
      <c r="A14" s="107"/>
      <c r="B14" s="107"/>
      <c r="C14" s="107"/>
      <c r="D14" s="107"/>
      <c r="E14" s="107"/>
      <c r="F14" s="107"/>
      <c r="G14" s="107"/>
      <c r="J14" s="168" t="str">
        <f>IF(AND(R5=3,R7=2,J9="თუ არ არის კლინიკური გაუარესება, აღადგინეთ/დაიწყეთ NOAC-ით თერაპია"),"NOAC-ით თერაპიის დაწყებამდე, განიხილეთ ასპირინით თერაპია",IF(AND(R5=3,R7=3,J9="თუ არ არის კლინიკური გაუარესება, აღადგინეთ/დაიწყეთ NOAC-ით თერაპია"),"NOAC-ით თერაპიის დაწყებამდე, განიხილეთ ასპირინით თერაპია",IF(AND(R5=3,R7=4,J9="თუ არის კლინიკური გაუმჯობესება ან არ არის გაუარესება, აღადგინეთ/დაიწყეთ NOAC-ით თერაპია"),"NOAC-ით თერაპიის დაწყებამდე, განიხილეთ ასპირინით თერაპია",IF(AND(R5=3,R7=5,J9="თუ NOAC-ის დაწყებამდე ≤1 დღით ადრე გადაღებულ CT/MRT-ზე არ აღინიშნება ჰემორაგიული ტრანსფორმაცია, აღადგინეთ/დაიწყეთ NOAC-ით თერაპია"),"NOAC-ით თერაპიის დაწყებამდე, განიხილეთ ასპირინით თერაპია",IF(AND(R5=3,R7=6,J9="თუ NOAC-ის დაწყებამდე ≤1 დღით ადრე გადაღებულ CT/MRT-ზე არ აღინიშნება ჰემორაგიული ტრანსფორმაცია, აღადგინეთ/დაიწყეთ NOAC-ით თერაპია"),"NOAC-ით თერაპიის დაწყებამდე, განიხილეთ ასპირინით თერაპია",IF(AND(R5=2,J9="თუ აღინიშნება კლინიკური გაუმჯობესება ან არ აღინიშნება კლინიკური გაურესება და NOAC-ის დაწყებამდე ≤1 დღით ადრე გადაღებულ CT/MRT-ზე აღინიშნება ჰემორაგიული ტრანსფორმაციის მნიშვნელოვანი რედუქცია, აღადგინეთ/დაიწყეთ NOAC-ით თერაპია"),"NOAC-ით თერაპიის დაწყებამდე, განიხილეთ ასპირინით თერაპია",""))))))</f>
        <v/>
      </c>
      <c r="K14" s="168"/>
      <c r="L14" s="168"/>
      <c r="M14" s="168"/>
      <c r="N14" s="168"/>
      <c r="O14" s="168"/>
      <c r="P14" s="168"/>
      <c r="Q14" s="168"/>
      <c r="R14" s="168"/>
    </row>
    <row r="15" spans="1:28" x14ac:dyDescent="0.35">
      <c r="A15" s="107"/>
      <c r="B15" s="107"/>
      <c r="C15" s="107"/>
      <c r="D15" s="107"/>
      <c r="E15" s="107"/>
      <c r="F15" s="107"/>
      <c r="G15" s="107"/>
    </row>
    <row r="16" spans="1:28" x14ac:dyDescent="0.35">
      <c r="A16" s="107"/>
      <c r="B16" s="107"/>
      <c r="C16" s="107"/>
      <c r="D16" s="107"/>
      <c r="E16" s="107"/>
      <c r="F16" s="107"/>
      <c r="G16" s="107"/>
    </row>
    <row r="17" spans="1:9" x14ac:dyDescent="0.35">
      <c r="A17" s="107"/>
      <c r="B17" s="107"/>
      <c r="C17" s="107"/>
      <c r="D17" s="107"/>
      <c r="E17" s="107"/>
      <c r="F17" s="107"/>
      <c r="G17" s="107"/>
    </row>
    <row r="25" spans="1:9" x14ac:dyDescent="0.35">
      <c r="A25" s="103" t="str">
        <f>IF(AND(I5=2,I7=1,I10=1,I13=1),"* სისტემური თრომბოლიზისი, თუ არ არის rt-PA-ის ინტრავენური გამოყენების უკუჩვენება",IF(AND(I5=3,I7=2,I10=1,I13=1),"* სისტემური თრომბოლიზისი, თუ არ არის rt-PA-ის ინტრავენური გამოყენების უკუჩვენება",IF(AND(I5=3,I7=3,I10=2,I13=1),"* შეწყვიტეთ დაბიგატრანი და განიხილეთ სისტემური თრომბოლიზისის საკითხი",IF(AND(I5=3,I7=3,I10=3,I13=2),"* განიხილეთ სისტემური თრომბოლიზისის საკითხი",""))))</f>
        <v/>
      </c>
      <c r="B25" s="103"/>
      <c r="C25" s="103"/>
      <c r="D25" s="103"/>
      <c r="E25" s="103"/>
      <c r="F25" s="103"/>
      <c r="G25" s="103"/>
      <c r="H25" s="103"/>
      <c r="I25" s="103"/>
    </row>
    <row r="26" spans="1:9" x14ac:dyDescent="0.35">
      <c r="A26" s="103"/>
      <c r="B26" s="103"/>
      <c r="C26" s="103"/>
      <c r="D26" s="103"/>
      <c r="E26" s="103"/>
      <c r="F26" s="103"/>
      <c r="G26" s="103"/>
      <c r="H26" s="103"/>
      <c r="I26" s="103"/>
    </row>
    <row r="28" spans="1:9" x14ac:dyDescent="0.35">
      <c r="A28" s="103" t="str">
        <f>IF(AND(I5=2,I7=1,I10=1,I13=1),"* სამიზნე სისხლძარღვის ოკლუზიის შემთხვევაში, პარალელურად განიხილეთ თრომბექტომიის საკითხიც",IF(AND(I5=3,I7=2,I10=1,I13=1),"* სამიზნე სისხლძარღვის ოკლუზიის შემთხვევაში, პარალელურად განიხილეთ თრომბექტომიის საკითხიც",IF(AND(I5=3,I7=3,I10=2,I13=1),"* სამიზნე სისხლძარღვის ოკლუზიის შემთხვევაში, პარალელურად განიხილეთ თრომბექტომიის საკითხიც",IF(AND(I5=3,I7=3,I10=3,I13=2),"* სამიზნე სისხლძარღვის ოკლუზიის შემთხვევაში, განიხილეთ თრომბექტომიის საკითხი",IF(AND(I5=3,I7=3,I10=3,I13=3),"* სამიზნე სისხლძარღვის ოკლუზიის შემთხვევაში, განიხილეთ თრომბექტომიის საკითხი","")))))</f>
        <v/>
      </c>
      <c r="B28" s="103"/>
      <c r="C28" s="103"/>
      <c r="D28" s="103"/>
      <c r="E28" s="103"/>
      <c r="F28" s="103"/>
      <c r="G28" s="103"/>
      <c r="H28" s="103"/>
      <c r="I28" s="103"/>
    </row>
    <row r="29" spans="1:9" x14ac:dyDescent="0.35">
      <c r="A29" s="103"/>
      <c r="B29" s="103"/>
      <c r="C29" s="103"/>
      <c r="D29" s="103"/>
      <c r="E29" s="103"/>
      <c r="F29" s="103"/>
      <c r="G29" s="103"/>
      <c r="H29" s="103"/>
      <c r="I29" s="103"/>
    </row>
    <row r="31" spans="1:9" x14ac:dyDescent="0.35">
      <c r="A31" s="105" t="str">
        <f>IF(AND(I5=2,I7=1,I10=1,I13=1),"* გადაიყვანეთ პაციენტი ინსულტის ცენტრში ან ინტენსიურ თერაპიაში",IF(AND(I5=3,I7=2,I10=1,I13=1),"* გადაიყვანეთ პაციენტი ინსულტის ცენტრში ან ინტენსიურ თერაპიაში",IF(AND(I5=3,I7=3,I10=2,I13=1),"* გადაიყვანეთ პაციენტი ინსულტის ცენტრში ან ინტენსიურ თერაპიაში",IF(AND(I5=3,I7=3,I10=3,I13=2),"* გადაიყვანეთ პაციენტი ინსულტის ცენტრში ან ინტენსიურ თერაპიაში",IF(AND(I5=3,I7=3,I10=3,I13=3),"* გადაიყვანეთ პაციენტი ინსულტის ცენტრში ან ინტენსიურ თერაპიაში","")))))</f>
        <v/>
      </c>
      <c r="B31" s="105"/>
      <c r="C31" s="105"/>
      <c r="D31" s="105"/>
      <c r="E31" s="105"/>
      <c r="F31" s="105"/>
      <c r="G31" s="105"/>
      <c r="H31" s="105"/>
      <c r="I31" s="105"/>
    </row>
    <row r="32" spans="1:9" x14ac:dyDescent="0.35">
      <c r="A32" s="105"/>
      <c r="B32" s="105"/>
      <c r="C32" s="105"/>
      <c r="D32" s="105"/>
      <c r="E32" s="105"/>
      <c r="F32" s="105"/>
      <c r="G32" s="105"/>
      <c r="H32" s="105"/>
      <c r="I32" s="105"/>
    </row>
  </sheetData>
  <sheetProtection algorithmName="SHA-512" hashValue="M1z4/4KQOwkSfNs/wuImX0sQLXi22ZEYYPAwB64kL4qCD2STUt0wxpysSfr3A3tm2cc2zArGEJx8z0LtXj2AYA==" saltValue="0/9EqSclVIqnosY1HJcPBA==" spinCount="100000" sheet="1" objects="1" scenarios="1"/>
  <mergeCells count="11">
    <mergeCell ref="A25:I26"/>
    <mergeCell ref="A28:I29"/>
    <mergeCell ref="A31:I32"/>
    <mergeCell ref="A1:I3"/>
    <mergeCell ref="J14:R14"/>
    <mergeCell ref="A7:G8"/>
    <mergeCell ref="A10:G11"/>
    <mergeCell ref="A13:G17"/>
    <mergeCell ref="J1:R3"/>
    <mergeCell ref="L13:P13"/>
    <mergeCell ref="J9:R12"/>
  </mergeCells>
  <conditionalFormatting sqref="A25:I26">
    <cfRule type="containsText" dxfId="18" priority="1" operator="containsText" text="განიხილეთ">
      <formula>NOT(ISERROR(SEARCH("განიხილეთ",A25)))</formula>
    </cfRule>
    <cfRule type="containsText" dxfId="17" priority="4" operator="containsText" text="თრომბოლიზისი">
      <formula>NOT(ISERROR(SEARCH("თრომბოლიზისი",A25)))</formula>
    </cfRule>
  </conditionalFormatting>
  <conditionalFormatting sqref="A28:I29">
    <cfRule type="containsText" dxfId="16" priority="3" operator="containsText" text="თრომბექტომიის">
      <formula>NOT(ISERROR(SEARCH("თრომბექტომიის",A28)))</formula>
    </cfRule>
  </conditionalFormatting>
  <conditionalFormatting sqref="A31:I32">
    <cfRule type="containsText" dxfId="15" priority="2" operator="containsText" text="ინტენსიურ">
      <formula>NOT(ISERROR(SEARCH("ინტენსიურ",A31)))</formula>
    </cfRule>
  </conditionalFormatting>
  <hyperlinks>
    <hyperlink ref="A1:I3" location="Main!A1" display="კარდიოვერსია და NOAC თერაპია" xr:uid="{00000000-0004-0000-0E00-000000000000}"/>
  </hyperlink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76" r:id="rId4" name="Drop Down 16">
              <controlPr defaultSize="0" autoLine="0" autoPict="0">
                <anchor moveWithCells="1">
                  <from>
                    <xdr:col>7</xdr:col>
                    <xdr:colOff>412750</xdr:colOff>
                    <xdr:row>3</xdr:row>
                    <xdr:rowOff>184150</xdr:rowOff>
                  </from>
                  <to>
                    <xdr:col>8</xdr:col>
                    <xdr:colOff>590550</xdr:colOff>
                    <xdr:row>5</xdr:row>
                    <xdr:rowOff>12700</xdr:rowOff>
                  </to>
                </anchor>
              </controlPr>
            </control>
          </mc:Choice>
        </mc:AlternateContent>
        <mc:AlternateContent xmlns:mc="http://schemas.openxmlformats.org/markup-compatibility/2006">
          <mc:Choice Requires="x14">
            <control shapeId="15377" r:id="rId5" name="Drop Down 17">
              <controlPr defaultSize="0" autoLine="0" autoPict="0">
                <anchor moveWithCells="1">
                  <from>
                    <xdr:col>7</xdr:col>
                    <xdr:colOff>412750</xdr:colOff>
                    <xdr:row>6</xdr:row>
                    <xdr:rowOff>0</xdr:rowOff>
                  </from>
                  <to>
                    <xdr:col>8</xdr:col>
                    <xdr:colOff>590550</xdr:colOff>
                    <xdr:row>7</xdr:row>
                    <xdr:rowOff>19050</xdr:rowOff>
                  </to>
                </anchor>
              </controlPr>
            </control>
          </mc:Choice>
        </mc:AlternateContent>
        <mc:AlternateContent xmlns:mc="http://schemas.openxmlformats.org/markup-compatibility/2006">
          <mc:Choice Requires="x14">
            <control shapeId="15378" r:id="rId6" name="Drop Down 18">
              <controlPr defaultSize="0" autoLine="0" autoPict="0">
                <anchor moveWithCells="1">
                  <from>
                    <xdr:col>7</xdr:col>
                    <xdr:colOff>412750</xdr:colOff>
                    <xdr:row>8</xdr:row>
                    <xdr:rowOff>184150</xdr:rowOff>
                  </from>
                  <to>
                    <xdr:col>8</xdr:col>
                    <xdr:colOff>590550</xdr:colOff>
                    <xdr:row>10</xdr:row>
                    <xdr:rowOff>12700</xdr:rowOff>
                  </to>
                </anchor>
              </controlPr>
            </control>
          </mc:Choice>
        </mc:AlternateContent>
        <mc:AlternateContent xmlns:mc="http://schemas.openxmlformats.org/markup-compatibility/2006">
          <mc:Choice Requires="x14">
            <control shapeId="15379" r:id="rId7" name="Drop Down 19">
              <controlPr defaultSize="0" autoLine="0" autoPict="0">
                <anchor moveWithCells="1">
                  <from>
                    <xdr:col>7</xdr:col>
                    <xdr:colOff>412750</xdr:colOff>
                    <xdr:row>11</xdr:row>
                    <xdr:rowOff>184150</xdr:rowOff>
                  </from>
                  <to>
                    <xdr:col>8</xdr:col>
                    <xdr:colOff>590550</xdr:colOff>
                    <xdr:row>13</xdr:row>
                    <xdr:rowOff>0</xdr:rowOff>
                  </to>
                </anchor>
              </controlPr>
            </control>
          </mc:Choice>
        </mc:AlternateContent>
        <mc:AlternateContent xmlns:mc="http://schemas.openxmlformats.org/markup-compatibility/2006">
          <mc:Choice Requires="x14">
            <control shapeId="15380" r:id="rId8" name="Drop Down 20">
              <controlPr defaultSize="0" autoLine="0" autoPict="0">
                <anchor moveWithCells="1">
                  <from>
                    <xdr:col>13</xdr:col>
                    <xdr:colOff>342900</xdr:colOff>
                    <xdr:row>4</xdr:row>
                    <xdr:rowOff>0</xdr:rowOff>
                  </from>
                  <to>
                    <xdr:col>17</xdr:col>
                    <xdr:colOff>603250</xdr:colOff>
                    <xdr:row>5</xdr:row>
                    <xdr:rowOff>12700</xdr:rowOff>
                  </to>
                </anchor>
              </controlPr>
            </control>
          </mc:Choice>
        </mc:AlternateContent>
        <mc:AlternateContent xmlns:mc="http://schemas.openxmlformats.org/markup-compatibility/2006">
          <mc:Choice Requires="x14">
            <control shapeId="15381" r:id="rId9" name="Drop Down 21">
              <controlPr defaultSize="0" autoLine="0" autoPict="0">
                <anchor moveWithCells="1">
                  <from>
                    <xdr:col>11</xdr:col>
                    <xdr:colOff>190500</xdr:colOff>
                    <xdr:row>5</xdr:row>
                    <xdr:rowOff>171450</xdr:rowOff>
                  </from>
                  <to>
                    <xdr:col>17</xdr:col>
                    <xdr:colOff>603250</xdr:colOff>
                    <xdr:row>6</xdr:row>
                    <xdr:rowOff>184150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9"/>
  <sheetViews>
    <sheetView workbookViewId="0">
      <selection sqref="A1:I3"/>
    </sheetView>
  </sheetViews>
  <sheetFormatPr defaultColWidth="9.1796875" defaultRowHeight="14.5" x14ac:dyDescent="0.35"/>
  <cols>
    <col min="1" max="4" width="9.1796875" style="1"/>
    <col min="5" max="5" width="9.7265625" style="1" customWidth="1"/>
    <col min="6" max="16384" width="9.1796875" style="1"/>
  </cols>
  <sheetData>
    <row r="1" spans="1:9" x14ac:dyDescent="0.35">
      <c r="A1" s="172" t="s">
        <v>429</v>
      </c>
      <c r="B1" s="172"/>
      <c r="C1" s="172"/>
      <c r="D1" s="172"/>
      <c r="E1" s="172"/>
      <c r="F1" s="172"/>
      <c r="G1" s="172"/>
      <c r="H1" s="172"/>
      <c r="I1" s="172"/>
    </row>
    <row r="2" spans="1:9" x14ac:dyDescent="0.35">
      <c r="A2" s="172"/>
      <c r="B2" s="172"/>
      <c r="C2" s="172"/>
      <c r="D2" s="172"/>
      <c r="E2" s="172"/>
      <c r="F2" s="172"/>
      <c r="G2" s="172"/>
      <c r="H2" s="172"/>
      <c r="I2" s="172"/>
    </row>
    <row r="3" spans="1:9" x14ac:dyDescent="0.35">
      <c r="A3" s="172"/>
      <c r="B3" s="172"/>
      <c r="C3" s="172"/>
      <c r="D3" s="172"/>
      <c r="E3" s="172"/>
      <c r="F3" s="172"/>
      <c r="G3" s="172"/>
      <c r="H3" s="172"/>
      <c r="I3" s="172"/>
    </row>
    <row r="5" spans="1:9" x14ac:dyDescent="0.35">
      <c r="A5" s="1" t="s">
        <v>422</v>
      </c>
      <c r="C5" s="30"/>
      <c r="D5" s="1" t="s">
        <v>283</v>
      </c>
      <c r="E5" s="1" t="s">
        <v>423</v>
      </c>
      <c r="F5" s="30"/>
      <c r="G5" s="1" t="s">
        <v>424</v>
      </c>
    </row>
    <row r="7" spans="1:9" x14ac:dyDescent="0.35">
      <c r="A7" s="1" t="s">
        <v>425</v>
      </c>
      <c r="D7" s="83" t="e">
        <f>C5/(F5*F5)</f>
        <v>#DIV/0!</v>
      </c>
      <c r="E7" s="1" t="s">
        <v>426</v>
      </c>
    </row>
    <row r="9" spans="1:9" x14ac:dyDescent="0.35">
      <c r="A9" s="1" t="s">
        <v>427</v>
      </c>
      <c r="C9" s="149" t="e">
        <f>IF(D7&lt;18.5,"წონის დეფიციტი",IF(AND(D7&gt;18.49,D7&lt;25),"ნორმული წონა",IF(AND(D7&gt;24.9,D7&lt;30),"ჭარბი წონა",IF(AND(D7&gt;29.9,D7&lt;35),"პირველი კლასის სიმსუქნე",IF(AND(D7&gt;34.9,D7&lt;40),"მეორე კლასის სიმსუქნე",IF(D7&gt;39.9,"მესამე კლასის სიმსუქნე",""))))))</f>
        <v>#DIV/0!</v>
      </c>
      <c r="D9" s="149"/>
      <c r="E9" s="149"/>
      <c r="F9" s="149"/>
      <c r="G9" s="149"/>
      <c r="H9" s="149"/>
    </row>
    <row r="12" spans="1:9" ht="15" customHeight="1" x14ac:dyDescent="0.35">
      <c r="A12" s="1" t="s">
        <v>428</v>
      </c>
      <c r="C12" s="107" t="e">
        <f>IF(OR(C5&lt;50,D7&lt;12.5),"* განსაზღვრეთ NOAC-ის პლაზმური კონცენტრაცია",IF(AND(C5&gt;49.9,C5&lt;60),"* აპიქსაბანი 2.5 მგ ორჯერ ან ედოქსაბანი 30 მგ დღეში ორჯერ",IF(AND(D7&gt;12.49,C5&lt;17.5),"* აპიქსაბანი 2.5 მგ ორჯერ ან ედოქსაბანი 30 მგ დღეში ორჯერ",IF(AND(C5&gt;59.9,C5&lt;120),"* NOAC რეკომენდებული დოზით",IF(AND(D7&gt;17.49,C5&lt;40),"* NOAC რეკომენდებული დოზით",IF(OR(C5&gt;119.9,D7&gt;39.9),"* NOAC სიფრთხილით და პლაზმური კონცენტრაციის კონტროლით",""))))))</f>
        <v>#DIV/0!</v>
      </c>
      <c r="D12" s="107"/>
      <c r="E12" s="107"/>
      <c r="F12" s="107"/>
      <c r="G12" s="107"/>
      <c r="H12" s="107"/>
      <c r="I12" s="107"/>
    </row>
    <row r="13" spans="1:9" x14ac:dyDescent="0.35">
      <c r="C13" s="107"/>
      <c r="D13" s="107"/>
      <c r="E13" s="107"/>
      <c r="F13" s="107"/>
      <c r="G13" s="107"/>
      <c r="H13" s="107"/>
      <c r="I13" s="107"/>
    </row>
    <row r="14" spans="1:9" x14ac:dyDescent="0.35">
      <c r="C14" s="32"/>
      <c r="D14" s="32"/>
      <c r="E14" s="32"/>
      <c r="F14" s="32"/>
      <c r="G14" s="32"/>
      <c r="H14" s="32"/>
      <c r="I14" s="32"/>
    </row>
    <row r="15" spans="1:9" x14ac:dyDescent="0.35">
      <c r="C15" s="107" t="e">
        <f>IF(OR(C5&lt;50,D7&lt;12.5),"* განიხილეთ ვიტამინ K-ს ანტაგონისტზე გადასვლის საკითხი",IF(AND(C5&gt;49.9,C5&lt;60),"* დაბიგატრანი/რივაროქსაბანი პლაზმური კონცენტრაციის კონტროლით",IF(AND(D7&gt;12.49,C5&lt;17.5),"* დაბიგატრანი/რივაროქსაბანი პლაზმური კონცენტრაციის კონტროლით",IF(OR(C5&gt;119.9,D7&gt;39.9),"* განიხილეთ ვიტამინ K-ს ანტაგონისტზე გადასვლის საკითხი",""))))</f>
        <v>#DIV/0!</v>
      </c>
      <c r="D15" s="107"/>
      <c r="E15" s="107"/>
      <c r="F15" s="107"/>
      <c r="G15" s="107"/>
      <c r="H15" s="107"/>
      <c r="I15" s="107"/>
    </row>
    <row r="16" spans="1:9" x14ac:dyDescent="0.35">
      <c r="C16" s="107"/>
      <c r="D16" s="107"/>
      <c r="E16" s="107"/>
      <c r="F16" s="107"/>
      <c r="G16" s="107"/>
      <c r="H16" s="107"/>
      <c r="I16" s="107"/>
    </row>
    <row r="18" spans="3:9" x14ac:dyDescent="0.35">
      <c r="C18" s="10"/>
      <c r="D18" s="10"/>
      <c r="E18" s="10"/>
      <c r="F18" s="10"/>
      <c r="G18" s="10"/>
      <c r="H18" s="10"/>
      <c r="I18" s="10"/>
    </row>
    <row r="19" spans="3:9" x14ac:dyDescent="0.35">
      <c r="C19" s="10"/>
      <c r="D19" s="10"/>
      <c r="E19" s="10"/>
      <c r="F19" s="10"/>
      <c r="G19" s="10"/>
      <c r="H19" s="10"/>
      <c r="I19" s="10"/>
    </row>
  </sheetData>
  <sheetProtection algorithmName="SHA-512" hashValue="xwzBNCBhwFeu4RfNVseotOyNDjO69fDgs9u2O071woGi5FVxIXoLYCE4l+mOYPSAqyQVS4hFhG8oqFOhRUHzDA==" saltValue="ESzI6skgCqlYF0+BF+odfA==" spinCount="100000" sheet="1" objects="1" scenarios="1"/>
  <mergeCells count="4">
    <mergeCell ref="A1:I3"/>
    <mergeCell ref="C9:H9"/>
    <mergeCell ref="C12:I13"/>
    <mergeCell ref="C15:I16"/>
  </mergeCells>
  <conditionalFormatting sqref="D7">
    <cfRule type="containsErrors" dxfId="14" priority="10">
      <formula>ISERROR(D7)</formula>
    </cfRule>
  </conditionalFormatting>
  <conditionalFormatting sqref="C9:H9">
    <cfRule type="containsText" dxfId="13" priority="2" operator="containsText" text="მესამე">
      <formula>NOT(ISERROR(SEARCH("მესამე",C9)))</formula>
    </cfRule>
    <cfRule type="containsText" dxfId="12" priority="3" operator="containsText" text="მეორე">
      <formula>NOT(ISERROR(SEARCH("მეორე",C9)))</formula>
    </cfRule>
    <cfRule type="containsText" dxfId="11" priority="4" operator="containsText" text="პირველი">
      <formula>NOT(ISERROR(SEARCH("პირველი",C9)))</formula>
    </cfRule>
    <cfRule type="containsText" dxfId="10" priority="5" operator="containsText" text="ჭარბი წონა">
      <formula>NOT(ISERROR(SEARCH("ჭარბი წონა",C9)))</formula>
    </cfRule>
    <cfRule type="containsText" dxfId="9" priority="6" operator="containsText" text="ნორმული წონა">
      <formula>NOT(ISERROR(SEARCH("ნორმული წონა",C9)))</formula>
    </cfRule>
    <cfRule type="containsText" dxfId="8" priority="7" operator="containsText" text="წონის დეფიციტი">
      <formula>NOT(ISERROR(SEARCH("წონის დეფიციტი",C9)))</formula>
    </cfRule>
    <cfRule type="notContainsBlanks" dxfId="7" priority="8">
      <formula>LEN(TRIM(C9))&gt;0</formula>
    </cfRule>
  </conditionalFormatting>
  <conditionalFormatting sqref="C12:I13 C15:I16 C9:H9">
    <cfRule type="containsErrors" dxfId="6" priority="1">
      <formula>ISERROR(C9)</formula>
    </cfRule>
  </conditionalFormatting>
  <hyperlinks>
    <hyperlink ref="A1:I3" location="Main!A1" display="NOAC თერაპიის თავისებურებები წონის და სხეულის მასის ინდექსის მიხედვით" xr:uid="{00000000-0004-0000-0F00-000000000000}"/>
  </hyperlink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36"/>
  <sheetViews>
    <sheetView workbookViewId="0">
      <selection sqref="A1:I3"/>
    </sheetView>
  </sheetViews>
  <sheetFormatPr defaultColWidth="9.1796875" defaultRowHeight="14.5" x14ac:dyDescent="0.35"/>
  <cols>
    <col min="1" max="4" width="9.1796875" style="1"/>
    <col min="5" max="5" width="9.7265625" style="1" customWidth="1"/>
    <col min="6" max="18" width="9.1796875" style="1"/>
    <col min="19" max="29" width="9.1796875" style="75"/>
    <col min="30" max="16384" width="9.1796875" style="1"/>
  </cols>
  <sheetData>
    <row r="1" spans="1:28" ht="15" customHeight="1" x14ac:dyDescent="0.35">
      <c r="A1" s="172" t="s">
        <v>430</v>
      </c>
      <c r="B1" s="172"/>
      <c r="C1" s="172"/>
      <c r="D1" s="172"/>
      <c r="E1" s="172"/>
      <c r="F1" s="172"/>
      <c r="G1" s="172"/>
      <c r="H1" s="172"/>
      <c r="I1" s="172"/>
      <c r="J1" s="173" t="s">
        <v>452</v>
      </c>
      <c r="K1" s="173"/>
      <c r="L1" s="173"/>
      <c r="M1" s="173"/>
      <c r="N1" s="173"/>
      <c r="O1" s="173"/>
      <c r="P1" s="173"/>
      <c r="Q1" s="173"/>
      <c r="R1" s="173"/>
      <c r="S1" s="86"/>
    </row>
    <row r="2" spans="1:28" ht="15" customHeight="1" x14ac:dyDescent="0.35">
      <c r="A2" s="172"/>
      <c r="B2" s="172"/>
      <c r="C2" s="172"/>
      <c r="D2" s="172"/>
      <c r="E2" s="172"/>
      <c r="F2" s="172"/>
      <c r="G2" s="172"/>
      <c r="H2" s="172"/>
      <c r="I2" s="172"/>
      <c r="J2" s="173"/>
      <c r="K2" s="173"/>
      <c r="L2" s="173"/>
      <c r="M2" s="173"/>
      <c r="N2" s="173"/>
      <c r="O2" s="173"/>
      <c r="P2" s="173"/>
      <c r="Q2" s="173"/>
      <c r="R2" s="173"/>
      <c r="S2" s="86"/>
      <c r="AB2" s="75" t="s">
        <v>432</v>
      </c>
    </row>
    <row r="3" spans="1:28" ht="15" customHeight="1" x14ac:dyDescent="0.35">
      <c r="A3" s="172"/>
      <c r="B3" s="172"/>
      <c r="C3" s="172"/>
      <c r="D3" s="172"/>
      <c r="E3" s="172"/>
      <c r="F3" s="172"/>
      <c r="G3" s="172"/>
      <c r="H3" s="172"/>
      <c r="I3" s="172"/>
      <c r="J3" s="173"/>
      <c r="K3" s="173"/>
      <c r="L3" s="173"/>
      <c r="M3" s="173"/>
      <c r="N3" s="173"/>
      <c r="O3" s="173"/>
      <c r="P3" s="173"/>
      <c r="Q3" s="173"/>
      <c r="R3" s="173"/>
      <c r="S3" s="86"/>
      <c r="AB3" s="75" t="s">
        <v>433</v>
      </c>
    </row>
    <row r="4" spans="1:28" ht="15" customHeight="1" x14ac:dyDescent="0.35">
      <c r="F4" s="13"/>
      <c r="J4" s="84"/>
      <c r="K4" s="84"/>
      <c r="L4" s="84"/>
      <c r="M4" s="84"/>
      <c r="N4" s="84"/>
      <c r="O4" s="84"/>
      <c r="P4" s="84"/>
      <c r="Q4" s="84"/>
      <c r="R4" s="84"/>
      <c r="S4" s="86"/>
      <c r="AB4" s="75" t="s">
        <v>434</v>
      </c>
    </row>
    <row r="5" spans="1:28" x14ac:dyDescent="0.35">
      <c r="A5" s="1" t="s">
        <v>431</v>
      </c>
      <c r="F5" s="13">
        <v>1</v>
      </c>
      <c r="J5" s="82" t="s">
        <v>281</v>
      </c>
      <c r="K5" s="30"/>
      <c r="L5" s="1" t="s">
        <v>367</v>
      </c>
      <c r="S5" s="75" t="str">
        <f>IF(K5&gt;65,1,"")</f>
        <v/>
      </c>
    </row>
    <row r="6" spans="1:28" x14ac:dyDescent="0.35">
      <c r="R6" s="13"/>
      <c r="AB6" s="75" t="s">
        <v>378</v>
      </c>
    </row>
    <row r="7" spans="1:28" x14ac:dyDescent="0.35">
      <c r="A7" s="101" t="str">
        <f>IF(F5=2,"* არ გამოიყენოთ ორალური ანტიკოაგულანტები",IF(F5=3,"* ორალური ანტიკოაგულანტები დიდი სიფრთხილით, თრომბოციტების რაოდენობის კონტროლით და კლინიკური მონიტორინგით!",IF(F5=4,"* ორალური ანტიკოაგულანტები სიფრთხილით!","")))</f>
        <v/>
      </c>
      <c r="B7" s="101"/>
      <c r="C7" s="101"/>
      <c r="D7" s="101"/>
      <c r="E7" s="101"/>
      <c r="F7" s="101"/>
      <c r="G7" s="101"/>
      <c r="H7" s="101"/>
      <c r="I7" s="101"/>
      <c r="J7" s="63" t="s">
        <v>435</v>
      </c>
      <c r="K7" s="63"/>
      <c r="L7" s="63"/>
      <c r="M7" s="63"/>
      <c r="N7" s="63"/>
      <c r="O7" s="63"/>
      <c r="P7" s="63"/>
      <c r="Q7" s="63"/>
      <c r="R7" s="68">
        <v>1</v>
      </c>
      <c r="S7" s="87" t="str">
        <f>IF(R7=2,1,IF(R7=3,0,""))</f>
        <v/>
      </c>
      <c r="AB7" s="75" t="s">
        <v>379</v>
      </c>
    </row>
    <row r="8" spans="1:28" x14ac:dyDescent="0.35">
      <c r="A8" s="101"/>
      <c r="B8" s="101"/>
      <c r="C8" s="101"/>
      <c r="D8" s="101"/>
      <c r="E8" s="101"/>
      <c r="F8" s="101"/>
      <c r="G8" s="101"/>
      <c r="H8" s="101"/>
      <c r="I8" s="101"/>
      <c r="J8" s="63"/>
      <c r="K8" s="63"/>
      <c r="L8" s="63"/>
      <c r="M8" s="63"/>
      <c r="N8" s="63"/>
      <c r="O8" s="63"/>
      <c r="P8" s="63"/>
      <c r="Q8" s="63"/>
      <c r="R8" s="68"/>
      <c r="S8" s="87"/>
    </row>
    <row r="9" spans="1:28" x14ac:dyDescent="0.35">
      <c r="A9" s="101" t="str">
        <f>IF(F5=2,"* შეაფასეთ სპონტანური სისხლდენის რისკი",IF(F5=3,"* სისხლდენის ≥1 რისკ-ფაქტორის არსებობის შემთხვევაში, განიხილეთ NOAC-ის დოზის განახევრება",IF(F5=4,"* თრომბოციტების რაოდენობის კონტროლი და კლინიკური მონიტორინგი","")))</f>
        <v/>
      </c>
      <c r="B9" s="101"/>
      <c r="C9" s="101"/>
      <c r="D9" s="101"/>
      <c r="E9" s="101"/>
      <c r="F9" s="101"/>
      <c r="G9" s="101"/>
      <c r="H9" s="101"/>
      <c r="I9" s="101"/>
      <c r="J9" s="63" t="s">
        <v>436</v>
      </c>
      <c r="K9" s="63"/>
      <c r="L9" s="63"/>
      <c r="M9" s="63"/>
      <c r="N9" s="63"/>
      <c r="O9" s="63"/>
      <c r="P9" s="63"/>
      <c r="Q9" s="63"/>
      <c r="R9" s="68"/>
      <c r="S9" s="87"/>
    </row>
    <row r="10" spans="1:28" x14ac:dyDescent="0.35">
      <c r="A10" s="101"/>
      <c r="B10" s="101"/>
      <c r="C10" s="101"/>
      <c r="D10" s="101"/>
      <c r="E10" s="101"/>
      <c r="F10" s="101"/>
      <c r="G10" s="101"/>
      <c r="H10" s="101"/>
      <c r="I10" s="101"/>
      <c r="J10" s="63" t="s">
        <v>437</v>
      </c>
      <c r="K10" s="63"/>
      <c r="L10" s="63"/>
      <c r="M10" s="63"/>
      <c r="N10" s="63"/>
      <c r="O10" s="63"/>
      <c r="P10" s="63"/>
      <c r="Q10" s="63"/>
      <c r="R10" s="68">
        <v>1</v>
      </c>
      <c r="S10" s="87" t="str">
        <f t="shared" ref="S10:S25" si="0">IF(R10=2,1,IF(R10=3,0,""))</f>
        <v/>
      </c>
    </row>
    <row r="11" spans="1:28" x14ac:dyDescent="0.35">
      <c r="J11" s="63"/>
      <c r="K11" s="63"/>
      <c r="L11" s="63"/>
      <c r="M11" s="63"/>
      <c r="N11" s="63"/>
      <c r="O11" s="63"/>
      <c r="P11" s="63"/>
      <c r="Q11" s="63"/>
      <c r="R11" s="68"/>
      <c r="S11" s="87"/>
    </row>
    <row r="12" spans="1:28" x14ac:dyDescent="0.35">
      <c r="J12" s="63" t="s">
        <v>438</v>
      </c>
      <c r="K12" s="63"/>
      <c r="L12" s="63"/>
      <c r="M12" s="63"/>
      <c r="N12" s="63"/>
      <c r="O12" s="63"/>
      <c r="P12" s="63"/>
      <c r="Q12" s="63"/>
      <c r="R12" s="68"/>
      <c r="S12" s="87"/>
    </row>
    <row r="13" spans="1:28" x14ac:dyDescent="0.35">
      <c r="J13" s="63" t="s">
        <v>439</v>
      </c>
      <c r="K13" s="63"/>
      <c r="L13" s="63"/>
      <c r="M13" s="63"/>
      <c r="N13" s="63"/>
      <c r="O13" s="63"/>
      <c r="P13" s="63"/>
      <c r="Q13" s="63"/>
      <c r="R13" s="68">
        <v>1</v>
      </c>
      <c r="S13" s="87" t="str">
        <f t="shared" si="0"/>
        <v/>
      </c>
    </row>
    <row r="14" spans="1:28" x14ac:dyDescent="0.35">
      <c r="J14" s="63"/>
      <c r="K14" s="63"/>
      <c r="L14" s="63"/>
      <c r="M14" s="63"/>
      <c r="N14" s="63"/>
      <c r="O14" s="63"/>
      <c r="P14" s="63"/>
      <c r="Q14" s="63"/>
      <c r="R14" s="68"/>
      <c r="S14" s="87"/>
    </row>
    <row r="15" spans="1:28" x14ac:dyDescent="0.35">
      <c r="J15" s="63" t="s">
        <v>440</v>
      </c>
      <c r="K15" s="63"/>
      <c r="L15" s="63"/>
      <c r="M15" s="63"/>
      <c r="N15" s="63"/>
      <c r="O15" s="63"/>
      <c r="P15" s="63"/>
      <c r="Q15" s="63"/>
      <c r="R15" s="68">
        <v>1</v>
      </c>
      <c r="S15" s="87" t="str">
        <f t="shared" si="0"/>
        <v/>
      </c>
    </row>
    <row r="16" spans="1:28" x14ac:dyDescent="0.35">
      <c r="J16" s="63"/>
      <c r="K16" s="63"/>
      <c r="L16" s="63"/>
      <c r="M16" s="63"/>
      <c r="N16" s="63"/>
      <c r="O16" s="63"/>
      <c r="P16" s="63"/>
      <c r="Q16" s="63"/>
      <c r="R16" s="68"/>
      <c r="S16" s="87"/>
    </row>
    <row r="17" spans="10:19" x14ac:dyDescent="0.35">
      <c r="J17" s="63" t="s">
        <v>441</v>
      </c>
      <c r="K17" s="63"/>
      <c r="L17" s="63"/>
      <c r="M17" s="63"/>
      <c r="N17" s="63"/>
      <c r="O17" s="63"/>
      <c r="P17" s="63"/>
      <c r="Q17" s="63"/>
      <c r="R17" s="68">
        <v>1</v>
      </c>
      <c r="S17" s="87" t="str">
        <f t="shared" si="0"/>
        <v/>
      </c>
    </row>
    <row r="18" spans="10:19" x14ac:dyDescent="0.35">
      <c r="J18" s="63"/>
      <c r="K18" s="63"/>
      <c r="L18" s="63"/>
      <c r="M18" s="63"/>
      <c r="N18" s="63"/>
      <c r="O18" s="63"/>
      <c r="P18" s="63"/>
      <c r="Q18" s="63"/>
      <c r="R18" s="68"/>
      <c r="S18" s="87"/>
    </row>
    <row r="19" spans="10:19" x14ac:dyDescent="0.35">
      <c r="J19" s="63" t="s">
        <v>449</v>
      </c>
      <c r="K19" s="63"/>
      <c r="L19" s="63"/>
      <c r="M19" s="63"/>
      <c r="N19" s="63"/>
      <c r="O19" s="63"/>
      <c r="P19" s="63"/>
      <c r="Q19" s="63"/>
      <c r="R19" s="68">
        <v>1</v>
      </c>
      <c r="S19" s="87" t="str">
        <f t="shared" si="0"/>
        <v/>
      </c>
    </row>
    <row r="20" spans="10:19" x14ac:dyDescent="0.35">
      <c r="J20" s="63" t="s">
        <v>448</v>
      </c>
      <c r="K20" s="63"/>
      <c r="L20" s="63"/>
      <c r="M20" s="63"/>
      <c r="N20" s="63"/>
      <c r="O20" s="63"/>
      <c r="P20" s="63"/>
      <c r="Q20" s="63"/>
      <c r="R20" s="68"/>
      <c r="S20" s="87"/>
    </row>
    <row r="21" spans="10:19" x14ac:dyDescent="0.35">
      <c r="J21" s="63"/>
      <c r="K21" s="63"/>
      <c r="L21" s="63"/>
      <c r="M21" s="63"/>
      <c r="N21" s="63"/>
      <c r="O21" s="63"/>
      <c r="P21" s="63"/>
      <c r="Q21" s="63"/>
      <c r="R21" s="68"/>
      <c r="S21" s="87"/>
    </row>
    <row r="22" spans="10:19" x14ac:dyDescent="0.35">
      <c r="J22" s="63" t="s">
        <v>451</v>
      </c>
      <c r="K22" s="63"/>
      <c r="L22" s="63"/>
      <c r="M22" s="63"/>
      <c r="N22" s="63"/>
      <c r="O22" s="63"/>
      <c r="P22" s="63"/>
      <c r="Q22" s="63"/>
      <c r="R22" s="68">
        <v>1</v>
      </c>
      <c r="S22" s="87" t="str">
        <f t="shared" si="0"/>
        <v/>
      </c>
    </row>
    <row r="23" spans="10:19" x14ac:dyDescent="0.35">
      <c r="J23" s="63" t="s">
        <v>450</v>
      </c>
      <c r="K23" s="63"/>
      <c r="L23" s="63"/>
      <c r="M23" s="63"/>
      <c r="N23" s="63"/>
      <c r="O23" s="63"/>
      <c r="P23" s="63"/>
      <c r="Q23" s="63"/>
      <c r="R23" s="68"/>
      <c r="S23" s="87"/>
    </row>
    <row r="24" spans="10:19" x14ac:dyDescent="0.35">
      <c r="J24" s="63"/>
      <c r="K24" s="63"/>
      <c r="L24" s="63"/>
      <c r="M24" s="63"/>
      <c r="N24" s="63"/>
      <c r="O24" s="63"/>
      <c r="P24" s="63"/>
      <c r="Q24" s="63"/>
      <c r="R24" s="68"/>
      <c r="S24" s="87"/>
    </row>
    <row r="25" spans="10:19" x14ac:dyDescent="0.35">
      <c r="J25" s="63" t="s">
        <v>442</v>
      </c>
      <c r="K25" s="63"/>
      <c r="L25" s="63"/>
      <c r="M25" s="63"/>
      <c r="N25" s="63"/>
      <c r="O25" s="63"/>
      <c r="P25" s="63"/>
      <c r="Q25" s="63"/>
      <c r="R25" s="68">
        <v>1</v>
      </c>
      <c r="S25" s="87" t="str">
        <f t="shared" si="0"/>
        <v/>
      </c>
    </row>
    <row r="26" spans="10:19" x14ac:dyDescent="0.35">
      <c r="J26" s="63"/>
      <c r="K26" s="63"/>
      <c r="L26" s="63"/>
      <c r="M26" s="63"/>
      <c r="N26" s="63"/>
      <c r="O26" s="63"/>
      <c r="P26" s="63"/>
      <c r="Q26" s="63"/>
      <c r="R26" s="63"/>
      <c r="S26" s="77">
        <f>SUM(S25,S22,S19,S17,S15,S13,S10,S7,S5)</f>
        <v>0</v>
      </c>
    </row>
    <row r="27" spans="10:19" x14ac:dyDescent="0.35">
      <c r="J27" s="63"/>
      <c r="K27" s="63"/>
      <c r="L27" s="63"/>
      <c r="M27" s="63"/>
      <c r="N27" s="63"/>
      <c r="O27" s="63"/>
      <c r="P27" s="63"/>
      <c r="Q27" s="63"/>
      <c r="R27" s="63"/>
      <c r="S27" s="77"/>
    </row>
    <row r="28" spans="10:19" x14ac:dyDescent="0.35">
      <c r="J28" s="70" t="s">
        <v>443</v>
      </c>
      <c r="K28" s="63"/>
      <c r="L28" s="85">
        <f>S26</f>
        <v>0</v>
      </c>
      <c r="M28" s="63"/>
      <c r="N28" s="63"/>
      <c r="O28" s="63"/>
      <c r="P28" s="63"/>
      <c r="Q28" s="63"/>
      <c r="R28" s="63"/>
      <c r="S28" s="77"/>
    </row>
    <row r="29" spans="10:19" x14ac:dyDescent="0.35">
      <c r="J29" s="63"/>
      <c r="K29" s="63"/>
      <c r="L29" s="63"/>
      <c r="M29" s="63"/>
      <c r="N29" s="63"/>
      <c r="O29" s="63"/>
      <c r="P29" s="63"/>
      <c r="Q29" s="63"/>
      <c r="R29" s="63"/>
      <c r="S29" s="77"/>
    </row>
    <row r="30" spans="10:19" x14ac:dyDescent="0.35">
      <c r="J30" s="70" t="s">
        <v>444</v>
      </c>
      <c r="K30" s="63"/>
      <c r="L30" s="174" t="str">
        <f>IF(L28=0,"ფარდობითად დაბალი",IF(L28=1,"ფარდობითად დაბალი",IF(L28=2,"საშუალო",IF(L28=3,"მაღალი",IF(L28=4,"მაღალი",IF(L28=5,"მაღალი",IF(L28&gt;5,"ძალიან მაღალი","")))))))</f>
        <v>ფარდობითად დაბალი</v>
      </c>
      <c r="M30" s="174"/>
      <c r="N30" s="174"/>
      <c r="O30" s="63"/>
      <c r="P30" s="63"/>
      <c r="Q30" s="63"/>
      <c r="R30" s="63"/>
      <c r="S30" s="77"/>
    </row>
    <row r="31" spans="10:19" x14ac:dyDescent="0.35">
      <c r="J31" s="63"/>
      <c r="K31" s="63"/>
      <c r="L31" s="63"/>
      <c r="M31" s="63"/>
      <c r="N31" s="63"/>
      <c r="O31" s="63"/>
      <c r="P31" s="63"/>
      <c r="Q31" s="63"/>
      <c r="R31" s="63"/>
      <c r="S31" s="77"/>
    </row>
    <row r="32" spans="10:19" x14ac:dyDescent="0.35">
      <c r="J32" s="70" t="s">
        <v>445</v>
      </c>
      <c r="K32" s="63"/>
      <c r="L32" s="63"/>
      <c r="M32" s="85" t="str">
        <f>IF(L28=0,"0.9%",IF(L28=1,"3.4%",IF(L28=2,"4.1%",IF(L28=3,"5.8%",IF(L28=4,"8.9%",IF(L28=5,"9.1%",IF(L28&gt;5,"&gt;10%","")))))))</f>
        <v>0.9%</v>
      </c>
      <c r="N32" s="63"/>
      <c r="O32" s="63"/>
      <c r="P32" s="63"/>
      <c r="Q32" s="63"/>
      <c r="R32" s="63"/>
      <c r="S32" s="77"/>
    </row>
    <row r="33" spans="10:19" x14ac:dyDescent="0.35">
      <c r="J33" s="63"/>
      <c r="K33" s="63"/>
      <c r="L33" s="63"/>
      <c r="M33" s="63"/>
      <c r="N33" s="63"/>
      <c r="O33" s="63"/>
      <c r="P33" s="63"/>
      <c r="Q33" s="63"/>
      <c r="R33" s="63"/>
      <c r="S33" s="77"/>
    </row>
    <row r="34" spans="10:19" x14ac:dyDescent="0.35">
      <c r="J34" s="70" t="s">
        <v>446</v>
      </c>
      <c r="K34" s="63"/>
      <c r="L34" s="63"/>
      <c r="M34" s="63"/>
      <c r="N34" s="85" t="str">
        <f>IF(L28=0,"1.13",IF(L28=1,"1.02",IF(L28=2,"1.88",IF(L28=3,"3.72",IF(L28=4,"8.70",IF(L28=5,"12.50",IF(L28&gt;5,"&gt;12.50","")))))))</f>
        <v>1.13</v>
      </c>
      <c r="O34" s="63"/>
      <c r="P34" s="63"/>
      <c r="Q34" s="63"/>
      <c r="R34" s="63"/>
      <c r="S34" s="77"/>
    </row>
    <row r="35" spans="10:19" x14ac:dyDescent="0.35">
      <c r="J35" s="63"/>
      <c r="K35" s="63"/>
      <c r="L35" s="63"/>
      <c r="M35" s="63"/>
      <c r="N35" s="63"/>
      <c r="O35" s="63"/>
      <c r="P35" s="63"/>
      <c r="Q35" s="63"/>
      <c r="R35" s="63"/>
      <c r="S35" s="77"/>
    </row>
    <row r="36" spans="10:19" x14ac:dyDescent="0.35">
      <c r="J36" s="70" t="s">
        <v>447</v>
      </c>
      <c r="K36" s="63"/>
      <c r="L36" s="175" t="str">
        <f>IF(L28=0,"აუცილებლად განიხილება ანტიკოაგულაცია",IF(L28=1,"აუცილებლად განიხილება ანტიკოაგულაცია",IF(L28=2,"შესაძლოა განხილულ იქნას ანტიკოაგულაცია",IF(L28=3,"განხილულ უნდა იქნას ანტიკოაგულაციის ალტერნატივა",IF(L28=4,"განხილულ უნდა იქნას ანტიკოაგულაციის ალტერნატივა",IF(L28=5,"განხილულ უნდა იქნას ანტიკოაგულაციის ალტერნატივა",IF(L28&gt;5,"განხილულ უნდა იქნას ანტიკოაგულაციის ალტერნატივა","")))))))</f>
        <v>აუცილებლად განიხილება ანტიკოაგულაცია</v>
      </c>
      <c r="M36" s="175"/>
      <c r="N36" s="175"/>
      <c r="O36" s="175"/>
      <c r="P36" s="175"/>
      <c r="Q36" s="175"/>
      <c r="R36" s="175"/>
      <c r="S36" s="88"/>
    </row>
  </sheetData>
  <sheetProtection algorithmName="SHA-512" hashValue="Ba8qiCccVq5FJzFYN41nhLcTagHvyU9lODVXB3P6mPrQuTAAnTyEniQVEvkzESZ+WEiArQPyk0eUTr9yblL7fg==" saltValue="ztwdOe0vnKLQomXfRnwoEg==" spinCount="100000" sheet="1" objects="1" scenarios="1"/>
  <mergeCells count="6">
    <mergeCell ref="J1:R3"/>
    <mergeCell ref="L30:N30"/>
    <mergeCell ref="L36:R36"/>
    <mergeCell ref="A1:I3"/>
    <mergeCell ref="A7:I8"/>
    <mergeCell ref="A9:I10"/>
  </mergeCells>
  <conditionalFormatting sqref="A7:I8">
    <cfRule type="containsText" dxfId="5" priority="2" operator="containsText" text="* ორალური ანტიკოაგულანტები სიფრთხილით!">
      <formula>NOT(ISERROR(SEARCH("* ორალური ანტიკოაგულანტები სიფრთხილით!",A7)))</formula>
    </cfRule>
    <cfRule type="containsText" dxfId="4" priority="4" operator="containsText" text="დიდი სიფრთხილით">
      <formula>NOT(ISERROR(SEARCH("დიდი სიფრთხილით",A7)))</formula>
    </cfRule>
    <cfRule type="containsText" dxfId="3" priority="6" operator="containsText" text="არ გამოიყენოთ">
      <formula>NOT(ISERROR(SEARCH("არ გამოიყენოთ",A7)))</formula>
    </cfRule>
  </conditionalFormatting>
  <conditionalFormatting sqref="A9:I10">
    <cfRule type="containsText" dxfId="2" priority="3" operator="containsText" text="განახევრება">
      <formula>NOT(ISERROR(SEARCH("განახევრება",A9)))</formula>
    </cfRule>
    <cfRule type="containsText" dxfId="1" priority="5" operator="containsText" text="სპონტანური სისხლდენის რისკი">
      <formula>NOT(ISERROR(SEARCH("სპონტანური სისხლდენის რისკი",A9)))</formula>
    </cfRule>
  </conditionalFormatting>
  <conditionalFormatting sqref="A9:I10">
    <cfRule type="containsText" dxfId="0" priority="1" operator="containsText" text="* თრომბოციტების რაოდენობის კონტროლი და კლინიკური მონიტორინგი">
      <formula>NOT(ISERROR(SEARCH("* თრომბოციტების რაოდენობის კონტროლი და კლინიკური მონიტორინგი",A9)))</formula>
    </cfRule>
  </conditionalFormatting>
  <hyperlinks>
    <hyperlink ref="A1:I3" location="Main!A1" display="NOAC თერაპიის თავისებურებები წონის და სხეულის მასის ინდექსის მიხედვით" xr:uid="{00000000-0004-0000-1000-000000000000}"/>
  </hyperlink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Drop Down 1">
              <controlPr defaultSize="0" autoLine="0" autoPict="0">
                <anchor moveWithCells="1">
                  <from>
                    <xdr:col>3</xdr:col>
                    <xdr:colOff>457200</xdr:colOff>
                    <xdr:row>4</xdr:row>
                    <xdr:rowOff>0</xdr:rowOff>
                  </from>
                  <to>
                    <xdr:col>5</xdr:col>
                    <xdr:colOff>584200</xdr:colOff>
                    <xdr:row>4</xdr:row>
                    <xdr:rowOff>184150</xdr:rowOff>
                  </to>
                </anchor>
              </controlPr>
            </control>
          </mc:Choice>
        </mc:AlternateContent>
        <mc:AlternateContent xmlns:mc="http://schemas.openxmlformats.org/markup-compatibility/2006">
          <mc:Choice Requires="x14">
            <control shapeId="17410" r:id="rId5" name="Drop Down 2">
              <controlPr defaultSize="0" autoLine="0" autoPict="0">
                <anchor moveWithCells="1">
                  <from>
                    <xdr:col>16</xdr:col>
                    <xdr:colOff>590550</xdr:colOff>
                    <xdr:row>6</xdr:row>
                    <xdr:rowOff>12700</xdr:rowOff>
                  </from>
                  <to>
                    <xdr:col>18</xdr:col>
                    <xdr:colOff>0</xdr:colOff>
                    <xdr:row>7</xdr:row>
                    <xdr:rowOff>31750</xdr:rowOff>
                  </to>
                </anchor>
              </controlPr>
            </control>
          </mc:Choice>
        </mc:AlternateContent>
        <mc:AlternateContent xmlns:mc="http://schemas.openxmlformats.org/markup-compatibility/2006">
          <mc:Choice Requires="x14">
            <control shapeId="17411" r:id="rId6" name="Drop Down 3">
              <controlPr defaultSize="0" autoLine="0" autoPict="0">
                <anchor moveWithCells="1">
                  <from>
                    <xdr:col>16</xdr:col>
                    <xdr:colOff>584200</xdr:colOff>
                    <xdr:row>9</xdr:row>
                    <xdr:rowOff>0</xdr:rowOff>
                  </from>
                  <to>
                    <xdr:col>17</xdr:col>
                    <xdr:colOff>603250</xdr:colOff>
                    <xdr:row>10</xdr:row>
                    <xdr:rowOff>19050</xdr:rowOff>
                  </to>
                </anchor>
              </controlPr>
            </control>
          </mc:Choice>
        </mc:AlternateContent>
        <mc:AlternateContent xmlns:mc="http://schemas.openxmlformats.org/markup-compatibility/2006">
          <mc:Choice Requires="x14">
            <control shapeId="17412" r:id="rId7" name="Drop Down 4">
              <controlPr defaultSize="0" autoLine="0" autoPict="0">
                <anchor moveWithCells="1">
                  <from>
                    <xdr:col>16</xdr:col>
                    <xdr:colOff>584200</xdr:colOff>
                    <xdr:row>12</xdr:row>
                    <xdr:rowOff>12700</xdr:rowOff>
                  </from>
                  <to>
                    <xdr:col>17</xdr:col>
                    <xdr:colOff>603250</xdr:colOff>
                    <xdr:row>13</xdr:row>
                    <xdr:rowOff>38100</xdr:rowOff>
                  </to>
                </anchor>
              </controlPr>
            </control>
          </mc:Choice>
        </mc:AlternateContent>
        <mc:AlternateContent xmlns:mc="http://schemas.openxmlformats.org/markup-compatibility/2006">
          <mc:Choice Requires="x14">
            <control shapeId="17413" r:id="rId8" name="Drop Down 5">
              <controlPr defaultSize="0" autoLine="0" autoPict="0">
                <anchor moveWithCells="1">
                  <from>
                    <xdr:col>16</xdr:col>
                    <xdr:colOff>584200</xdr:colOff>
                    <xdr:row>14</xdr:row>
                    <xdr:rowOff>12700</xdr:rowOff>
                  </from>
                  <to>
                    <xdr:col>17</xdr:col>
                    <xdr:colOff>603250</xdr:colOff>
                    <xdr:row>15</xdr:row>
                    <xdr:rowOff>38100</xdr:rowOff>
                  </to>
                </anchor>
              </controlPr>
            </control>
          </mc:Choice>
        </mc:AlternateContent>
        <mc:AlternateContent xmlns:mc="http://schemas.openxmlformats.org/markup-compatibility/2006">
          <mc:Choice Requires="x14">
            <control shapeId="17414" r:id="rId9" name="Drop Down 6">
              <controlPr defaultSize="0" autoLine="0" autoPict="0">
                <anchor moveWithCells="1">
                  <from>
                    <xdr:col>16</xdr:col>
                    <xdr:colOff>584200</xdr:colOff>
                    <xdr:row>16</xdr:row>
                    <xdr:rowOff>12700</xdr:rowOff>
                  </from>
                  <to>
                    <xdr:col>17</xdr:col>
                    <xdr:colOff>603250</xdr:colOff>
                    <xdr:row>17</xdr:row>
                    <xdr:rowOff>31750</xdr:rowOff>
                  </to>
                </anchor>
              </controlPr>
            </control>
          </mc:Choice>
        </mc:AlternateContent>
        <mc:AlternateContent xmlns:mc="http://schemas.openxmlformats.org/markup-compatibility/2006">
          <mc:Choice Requires="x14">
            <control shapeId="17415" r:id="rId10" name="Drop Down 7">
              <controlPr defaultSize="0" autoLine="0" autoPict="0">
                <anchor moveWithCells="1">
                  <from>
                    <xdr:col>16</xdr:col>
                    <xdr:colOff>584200</xdr:colOff>
                    <xdr:row>18</xdr:row>
                    <xdr:rowOff>12700</xdr:rowOff>
                  </from>
                  <to>
                    <xdr:col>17</xdr:col>
                    <xdr:colOff>603250</xdr:colOff>
                    <xdr:row>19</xdr:row>
                    <xdr:rowOff>38100</xdr:rowOff>
                  </to>
                </anchor>
              </controlPr>
            </control>
          </mc:Choice>
        </mc:AlternateContent>
        <mc:AlternateContent xmlns:mc="http://schemas.openxmlformats.org/markup-compatibility/2006">
          <mc:Choice Requires="x14">
            <control shapeId="17416" r:id="rId11" name="Drop Down 8">
              <controlPr defaultSize="0" autoLine="0" autoPict="0">
                <anchor moveWithCells="1">
                  <from>
                    <xdr:col>16</xdr:col>
                    <xdr:colOff>584200</xdr:colOff>
                    <xdr:row>21</xdr:row>
                    <xdr:rowOff>19050</xdr:rowOff>
                  </from>
                  <to>
                    <xdr:col>17</xdr:col>
                    <xdr:colOff>603250</xdr:colOff>
                    <xdr:row>22</xdr:row>
                    <xdr:rowOff>50800</xdr:rowOff>
                  </to>
                </anchor>
              </controlPr>
            </control>
          </mc:Choice>
        </mc:AlternateContent>
        <mc:AlternateContent xmlns:mc="http://schemas.openxmlformats.org/markup-compatibility/2006">
          <mc:Choice Requires="x14">
            <control shapeId="17417" r:id="rId12" name="Drop Down 9">
              <controlPr defaultSize="0" autoLine="0" autoPict="0">
                <anchor moveWithCells="1">
                  <from>
                    <xdr:col>16</xdr:col>
                    <xdr:colOff>584200</xdr:colOff>
                    <xdr:row>24</xdr:row>
                    <xdr:rowOff>12700</xdr:rowOff>
                  </from>
                  <to>
                    <xdr:col>17</xdr:col>
                    <xdr:colOff>603250</xdr:colOff>
                    <xdr:row>25</xdr:row>
                    <xdr:rowOff>31750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9"/>
  <sheetViews>
    <sheetView workbookViewId="0">
      <selection sqref="A1:I3"/>
    </sheetView>
  </sheetViews>
  <sheetFormatPr defaultColWidth="9.1796875" defaultRowHeight="14.5" x14ac:dyDescent="0.35"/>
  <cols>
    <col min="1" max="16384" width="9.1796875" style="1"/>
  </cols>
  <sheetData>
    <row r="1" spans="1:19" x14ac:dyDescent="0.35">
      <c r="A1" s="172" t="s">
        <v>454</v>
      </c>
      <c r="B1" s="172"/>
      <c r="C1" s="172"/>
      <c r="D1" s="172"/>
      <c r="E1" s="172"/>
      <c r="F1" s="172"/>
      <c r="G1" s="172"/>
      <c r="H1" s="172"/>
      <c r="I1" s="172"/>
    </row>
    <row r="2" spans="1:19" x14ac:dyDescent="0.35">
      <c r="A2" s="172"/>
      <c r="B2" s="172"/>
      <c r="C2" s="172"/>
      <c r="D2" s="172"/>
      <c r="E2" s="172"/>
      <c r="F2" s="172"/>
      <c r="G2" s="172"/>
      <c r="H2" s="172"/>
      <c r="I2" s="172"/>
      <c r="S2" s="17" t="s">
        <v>456</v>
      </c>
    </row>
    <row r="3" spans="1:19" x14ac:dyDescent="0.35">
      <c r="A3" s="172"/>
      <c r="B3" s="172"/>
      <c r="C3" s="172"/>
      <c r="D3" s="172"/>
      <c r="E3" s="172"/>
      <c r="F3" s="172"/>
      <c r="G3" s="172"/>
      <c r="H3" s="172"/>
      <c r="I3" s="172"/>
      <c r="S3" s="17" t="s">
        <v>457</v>
      </c>
    </row>
    <row r="4" spans="1:19" x14ac:dyDescent="0.35">
      <c r="B4" s="13"/>
      <c r="S4" s="17" t="s">
        <v>458</v>
      </c>
    </row>
    <row r="5" spans="1:19" x14ac:dyDescent="0.35">
      <c r="A5" s="3" t="s">
        <v>455</v>
      </c>
      <c r="B5" s="13">
        <v>1</v>
      </c>
      <c r="S5" s="17" t="s">
        <v>459</v>
      </c>
    </row>
    <row r="6" spans="1:19" x14ac:dyDescent="0.35">
      <c r="S6" s="17" t="s">
        <v>460</v>
      </c>
    </row>
    <row r="7" spans="1:19" ht="15" customHeight="1" x14ac:dyDescent="0.35">
      <c r="A7" s="3" t="s">
        <v>462</v>
      </c>
      <c r="E7" s="176" t="str">
        <f>IF(B5=2,"ერთი კვირის მანძლზე ვარფარინი 15%-ით გაზრდილი დოზით",IF(B5=3,"ერთი კვირის მანძლზე ვარფარინი 10%-ით გაზრდილი დოზით",IF(B5=4,"დატოვეთ ვარფარინის დოზა უცვლელად ერთი კვირის განმავლობაში",IF(B5=5,"ერთი კვირის მანძილზე ვარფარინი 10%-ით შემცირებული დოზით",IF(B5=6,"გამოტოვეთ ვარფარინის 1 დოზა და შემდეგ აღადგინეთ ვარფარინის მიღება ერთი კვირის განმავლობაში 10%-ით შემცირებული დოზით",IF(B5=7,"შეაჩერეთ ვარფარინი, სანამ INR არ გახდება 2-3 და შემდეგ აღადგინეთ მიღება ერთი კვირის განმავლობაში 15%-ით შემცირებული დოზით",""))))))</f>
        <v/>
      </c>
      <c r="F7" s="176"/>
      <c r="G7" s="176"/>
      <c r="H7" s="176"/>
      <c r="I7" s="176"/>
      <c r="S7" s="17" t="s">
        <v>461</v>
      </c>
    </row>
    <row r="8" spans="1:19" x14ac:dyDescent="0.35">
      <c r="E8" s="176"/>
      <c r="F8" s="176"/>
      <c r="G8" s="176"/>
      <c r="H8" s="176"/>
      <c r="I8" s="176"/>
    </row>
    <row r="9" spans="1:19" x14ac:dyDescent="0.35">
      <c r="E9" s="176"/>
      <c r="F9" s="176"/>
      <c r="G9" s="176"/>
      <c r="H9" s="176"/>
      <c r="I9" s="176"/>
    </row>
  </sheetData>
  <sheetProtection algorithmName="SHA-512" hashValue="VsGf5emeHcfB+f6tqk1OxKCMRuy16SomyF/PDtZL1ggxNStZFPwHw1tlyg46lZ1d4xcls3QMFRxJnHavLT3L0g==" saltValue="aAQ4iN+zpOVML8ZpBRzPVw==" spinCount="100000" sheet="1" objects="1" scenarios="1"/>
  <mergeCells count="2">
    <mergeCell ref="A1:I3"/>
    <mergeCell ref="E7:I9"/>
  </mergeCells>
  <hyperlinks>
    <hyperlink ref="A1:I3" location="Main!A1" display="ვარფარინის დოზის კორექცია" xr:uid="{00000000-0004-0000-1100-000000000000}"/>
  </hyperlink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Drop Down 1">
              <controlPr defaultSize="0" autoLine="0" autoPict="0">
                <anchor moveWithCells="1">
                  <from>
                    <xdr:col>0</xdr:col>
                    <xdr:colOff>603250</xdr:colOff>
                    <xdr:row>3</xdr:row>
                    <xdr:rowOff>184150</xdr:rowOff>
                  </from>
                  <to>
                    <xdr:col>2</xdr:col>
                    <xdr:colOff>146050</xdr:colOff>
                    <xdr:row>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orksheet____3"/>
  <dimension ref="A1:I44"/>
  <sheetViews>
    <sheetView workbookViewId="0">
      <selection sqref="A1:I2"/>
    </sheetView>
  </sheetViews>
  <sheetFormatPr defaultColWidth="9.1796875" defaultRowHeight="14.5" x14ac:dyDescent="0.35"/>
  <cols>
    <col min="1" max="16384" width="9.1796875" style="1"/>
  </cols>
  <sheetData>
    <row r="1" spans="1:9" x14ac:dyDescent="0.35">
      <c r="A1" s="102" t="s">
        <v>11</v>
      </c>
      <c r="B1" s="102"/>
      <c r="C1" s="102"/>
      <c r="D1" s="102"/>
      <c r="E1" s="102"/>
      <c r="F1" s="102"/>
      <c r="G1" s="102"/>
      <c r="H1" s="102"/>
      <c r="I1" s="102"/>
    </row>
    <row r="2" spans="1:9" x14ac:dyDescent="0.35">
      <c r="A2" s="102"/>
      <c r="B2" s="102"/>
      <c r="C2" s="102"/>
      <c r="D2" s="102"/>
      <c r="E2" s="102"/>
      <c r="F2" s="102"/>
      <c r="G2" s="102"/>
      <c r="H2" s="102"/>
      <c r="I2" s="102"/>
    </row>
    <row r="4" spans="1:9" x14ac:dyDescent="0.35">
      <c r="A4" s="100" t="s">
        <v>15</v>
      </c>
      <c r="B4" s="100"/>
      <c r="C4" s="100"/>
      <c r="D4" s="100"/>
      <c r="E4" s="100"/>
      <c r="F4" s="100"/>
      <c r="G4" s="100"/>
      <c r="H4" s="100"/>
      <c r="I4" s="100"/>
    </row>
    <row r="6" spans="1:9" x14ac:dyDescent="0.35">
      <c r="B6" s="1" t="s">
        <v>16</v>
      </c>
    </row>
    <row r="7" spans="1:9" x14ac:dyDescent="0.35">
      <c r="B7" s="103" t="s">
        <v>17</v>
      </c>
      <c r="C7" s="103"/>
      <c r="D7" s="103"/>
      <c r="E7" s="103"/>
      <c r="F7" s="103"/>
      <c r="G7" s="103"/>
      <c r="H7" s="103"/>
      <c r="I7" s="103"/>
    </row>
    <row r="8" spans="1:9" x14ac:dyDescent="0.35">
      <c r="B8" s="103"/>
      <c r="C8" s="103"/>
      <c r="D8" s="103"/>
      <c r="E8" s="103"/>
      <c r="F8" s="103"/>
      <c r="G8" s="103"/>
      <c r="H8" s="103"/>
      <c r="I8" s="103"/>
    </row>
    <row r="9" spans="1:9" x14ac:dyDescent="0.35">
      <c r="C9" s="1" t="s">
        <v>18</v>
      </c>
    </row>
    <row r="10" spans="1:9" x14ac:dyDescent="0.35">
      <c r="C10" s="1" t="s">
        <v>19</v>
      </c>
    </row>
    <row r="11" spans="1:9" x14ac:dyDescent="0.35">
      <c r="C11" s="1" t="s">
        <v>20</v>
      </c>
    </row>
    <row r="12" spans="1:9" x14ac:dyDescent="0.35">
      <c r="C12" s="3" t="s">
        <v>21</v>
      </c>
    </row>
    <row r="13" spans="1:9" x14ac:dyDescent="0.35">
      <c r="C13" s="1" t="s">
        <v>22</v>
      </c>
    </row>
    <row r="16" spans="1:9" x14ac:dyDescent="0.35">
      <c r="A16" s="101" t="s">
        <v>23</v>
      </c>
      <c r="B16" s="101"/>
      <c r="C16" s="101"/>
      <c r="D16" s="101"/>
      <c r="E16" s="101"/>
      <c r="F16" s="101"/>
      <c r="G16" s="101"/>
      <c r="H16" s="101"/>
      <c r="I16" s="101"/>
    </row>
    <row r="17" spans="1:9" x14ac:dyDescent="0.35">
      <c r="A17" s="101"/>
      <c r="B17" s="101"/>
      <c r="C17" s="101"/>
      <c r="D17" s="101"/>
      <c r="E17" s="101"/>
      <c r="F17" s="101"/>
      <c r="G17" s="101"/>
      <c r="H17" s="101"/>
      <c r="I17" s="101"/>
    </row>
    <row r="19" spans="1:9" x14ac:dyDescent="0.35">
      <c r="B19" s="1" t="s">
        <v>16</v>
      </c>
    </row>
    <row r="20" spans="1:9" x14ac:dyDescent="0.35">
      <c r="B20" s="103" t="s">
        <v>30</v>
      </c>
      <c r="C20" s="103"/>
      <c r="D20" s="103"/>
      <c r="E20" s="103"/>
      <c r="F20" s="103"/>
      <c r="G20" s="103"/>
      <c r="H20" s="103"/>
      <c r="I20" s="103"/>
    </row>
    <row r="21" spans="1:9" x14ac:dyDescent="0.35">
      <c r="B21" s="103"/>
      <c r="C21" s="103"/>
      <c r="D21" s="103"/>
      <c r="E21" s="103"/>
      <c r="F21" s="103"/>
      <c r="G21" s="103"/>
      <c r="H21" s="103"/>
      <c r="I21" s="103"/>
    </row>
    <row r="22" spans="1:9" x14ac:dyDescent="0.35">
      <c r="C22" s="1" t="s">
        <v>18</v>
      </c>
    </row>
    <row r="23" spans="1:9" x14ac:dyDescent="0.35">
      <c r="C23" s="1" t="s">
        <v>19</v>
      </c>
    </row>
    <row r="24" spans="1:9" x14ac:dyDescent="0.35">
      <c r="C24" s="1" t="s">
        <v>20</v>
      </c>
    </row>
    <row r="25" spans="1:9" x14ac:dyDescent="0.35">
      <c r="C25" s="3" t="s">
        <v>21</v>
      </c>
    </row>
    <row r="26" spans="1:9" x14ac:dyDescent="0.35">
      <c r="C26" s="1" t="s">
        <v>31</v>
      </c>
    </row>
    <row r="29" spans="1:9" x14ac:dyDescent="0.35">
      <c r="A29" s="100" t="s">
        <v>24</v>
      </c>
      <c r="B29" s="100"/>
      <c r="C29" s="100"/>
      <c r="D29" s="100"/>
      <c r="E29" s="100"/>
      <c r="F29" s="100"/>
      <c r="G29" s="100"/>
      <c r="H29" s="100"/>
      <c r="I29" s="100"/>
    </row>
    <row r="31" spans="1:9" x14ac:dyDescent="0.35">
      <c r="B31" s="1" t="s">
        <v>25</v>
      </c>
    </row>
    <row r="32" spans="1:9" x14ac:dyDescent="0.35">
      <c r="B32" s="1" t="s">
        <v>26</v>
      </c>
    </row>
    <row r="35" spans="1:9" x14ac:dyDescent="0.35">
      <c r="A35" s="101" t="s">
        <v>27</v>
      </c>
      <c r="B35" s="101"/>
      <c r="C35" s="101"/>
      <c r="D35" s="101"/>
      <c r="E35" s="101"/>
      <c r="F35" s="101"/>
      <c r="G35" s="101"/>
      <c r="H35" s="101"/>
      <c r="I35" s="101"/>
    </row>
    <row r="36" spans="1:9" x14ac:dyDescent="0.35">
      <c r="A36" s="101"/>
      <c r="B36" s="101"/>
      <c r="C36" s="101"/>
      <c r="D36" s="101"/>
      <c r="E36" s="101"/>
      <c r="F36" s="101"/>
      <c r="G36" s="101"/>
      <c r="H36" s="101"/>
      <c r="I36" s="101"/>
    </row>
    <row r="38" spans="1:9" x14ac:dyDescent="0.35">
      <c r="B38" s="1" t="s">
        <v>29</v>
      </c>
    </row>
    <row r="41" spans="1:9" x14ac:dyDescent="0.35">
      <c r="A41" s="101" t="s">
        <v>28</v>
      </c>
      <c r="B41" s="101"/>
      <c r="C41" s="101"/>
      <c r="D41" s="101"/>
      <c r="E41" s="101"/>
      <c r="F41" s="101"/>
      <c r="G41" s="101"/>
      <c r="H41" s="101"/>
      <c r="I41" s="101"/>
    </row>
    <row r="42" spans="1:9" x14ac:dyDescent="0.35">
      <c r="A42" s="101"/>
      <c r="B42" s="101"/>
      <c r="C42" s="101"/>
      <c r="D42" s="101"/>
      <c r="E42" s="101"/>
      <c r="F42" s="101"/>
      <c r="G42" s="101"/>
      <c r="H42" s="101"/>
      <c r="I42" s="101"/>
    </row>
    <row r="44" spans="1:9" x14ac:dyDescent="0.35">
      <c r="B44" s="1" t="s">
        <v>29</v>
      </c>
    </row>
  </sheetData>
  <sheetProtection algorithmName="SHA-512" hashValue="bLyzPQVViezQpTfIP6CT7EYwMPUJ29xl8qVWanj0AZq0COZGzEYo1OReobCrWtLiDM9lIFXRfeDOxEe2gNDang==" saltValue="FRpYzvyqCdUaZF0B+rz5Dg==" spinCount="100000" sheet="1" objects="1" scenarios="1"/>
  <mergeCells count="8">
    <mergeCell ref="A29:I29"/>
    <mergeCell ref="A35:I36"/>
    <mergeCell ref="A41:I42"/>
    <mergeCell ref="A1:I2"/>
    <mergeCell ref="A4:I4"/>
    <mergeCell ref="B7:I8"/>
    <mergeCell ref="A16:I17"/>
    <mergeCell ref="B20:I21"/>
  </mergeCells>
  <hyperlinks>
    <hyperlink ref="A1:I2" location="Main!A1" display="აპიქსაბანი" xr:uid="{00000000-0004-0000-0100-000000000000}"/>
  </hyperlink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orksheet____4"/>
  <dimension ref="A1:I30"/>
  <sheetViews>
    <sheetView workbookViewId="0">
      <selection sqref="A1:I2"/>
    </sheetView>
  </sheetViews>
  <sheetFormatPr defaultColWidth="9.1796875" defaultRowHeight="14.5" x14ac:dyDescent="0.35"/>
  <cols>
    <col min="1" max="16384" width="9.1796875" style="1"/>
  </cols>
  <sheetData>
    <row r="1" spans="1:9" x14ac:dyDescent="0.35">
      <c r="A1" s="102" t="s">
        <v>12</v>
      </c>
      <c r="B1" s="102"/>
      <c r="C1" s="102"/>
      <c r="D1" s="102"/>
      <c r="E1" s="102"/>
      <c r="F1" s="102"/>
      <c r="G1" s="102"/>
      <c r="H1" s="102"/>
      <c r="I1" s="102"/>
    </row>
    <row r="2" spans="1:9" x14ac:dyDescent="0.35">
      <c r="A2" s="102"/>
      <c r="B2" s="102"/>
      <c r="C2" s="102"/>
      <c r="D2" s="102"/>
      <c r="E2" s="102"/>
      <c r="F2" s="102"/>
      <c r="G2" s="102"/>
      <c r="H2" s="102"/>
      <c r="I2" s="102"/>
    </row>
    <row r="4" spans="1:9" x14ac:dyDescent="0.35">
      <c r="A4" s="100" t="s">
        <v>15</v>
      </c>
      <c r="B4" s="100"/>
      <c r="C4" s="100"/>
      <c r="D4" s="100"/>
      <c r="E4" s="100"/>
      <c r="F4" s="100"/>
      <c r="G4" s="100"/>
      <c r="H4" s="100"/>
      <c r="I4" s="100"/>
    </row>
    <row r="6" spans="1:9" x14ac:dyDescent="0.35">
      <c r="B6" s="1" t="s">
        <v>41</v>
      </c>
    </row>
    <row r="9" spans="1:9" x14ac:dyDescent="0.35">
      <c r="A9" s="101" t="s">
        <v>23</v>
      </c>
      <c r="B9" s="101"/>
      <c r="C9" s="101"/>
      <c r="D9" s="101"/>
      <c r="E9" s="101"/>
      <c r="F9" s="101"/>
      <c r="G9" s="101"/>
      <c r="H9" s="101"/>
      <c r="I9" s="101"/>
    </row>
    <row r="10" spans="1:9" x14ac:dyDescent="0.35">
      <c r="A10" s="101"/>
      <c r="B10" s="101"/>
      <c r="C10" s="101"/>
      <c r="D10" s="101"/>
      <c r="E10" s="101"/>
      <c r="F10" s="101"/>
      <c r="G10" s="101"/>
      <c r="H10" s="101"/>
      <c r="I10" s="101"/>
    </row>
    <row r="12" spans="1:9" x14ac:dyDescent="0.35">
      <c r="B12" s="1" t="s">
        <v>36</v>
      </c>
    </row>
    <row r="15" spans="1:9" x14ac:dyDescent="0.35">
      <c r="A15" s="100" t="s">
        <v>24</v>
      </c>
      <c r="B15" s="100"/>
      <c r="C15" s="100"/>
      <c r="D15" s="100"/>
      <c r="E15" s="100"/>
      <c r="F15" s="100"/>
      <c r="G15" s="100"/>
      <c r="H15" s="100"/>
      <c r="I15" s="100"/>
    </row>
    <row r="17" spans="1:9" x14ac:dyDescent="0.35">
      <c r="B17" s="1" t="s">
        <v>37</v>
      </c>
    </row>
    <row r="18" spans="1:9" x14ac:dyDescent="0.35">
      <c r="B18" s="1" t="s">
        <v>38</v>
      </c>
    </row>
    <row r="21" spans="1:9" x14ac:dyDescent="0.35">
      <c r="A21" s="101" t="s">
        <v>27</v>
      </c>
      <c r="B21" s="101"/>
      <c r="C21" s="101"/>
      <c r="D21" s="101"/>
      <c r="E21" s="101"/>
      <c r="F21" s="101"/>
      <c r="G21" s="101"/>
      <c r="H21" s="101"/>
      <c r="I21" s="101"/>
    </row>
    <row r="22" spans="1:9" x14ac:dyDescent="0.35">
      <c r="A22" s="101"/>
      <c r="B22" s="101"/>
      <c r="C22" s="101"/>
      <c r="D22" s="101"/>
      <c r="E22" s="101"/>
      <c r="F22" s="101"/>
      <c r="G22" s="101"/>
      <c r="H22" s="101"/>
      <c r="I22" s="101"/>
    </row>
    <row r="24" spans="1:9" x14ac:dyDescent="0.35">
      <c r="B24" s="1" t="s">
        <v>39</v>
      </c>
    </row>
    <row r="27" spans="1:9" x14ac:dyDescent="0.35">
      <c r="A27" s="101" t="s">
        <v>28</v>
      </c>
      <c r="B27" s="101"/>
      <c r="C27" s="101"/>
      <c r="D27" s="101"/>
      <c r="E27" s="101"/>
      <c r="F27" s="101"/>
      <c r="G27" s="101"/>
      <c r="H27" s="101"/>
      <c r="I27" s="101"/>
    </row>
    <row r="28" spans="1:9" x14ac:dyDescent="0.35">
      <c r="A28" s="101"/>
      <c r="B28" s="101"/>
      <c r="C28" s="101"/>
      <c r="D28" s="101"/>
      <c r="E28" s="101"/>
      <c r="F28" s="101"/>
      <c r="G28" s="101"/>
      <c r="H28" s="101"/>
      <c r="I28" s="101"/>
    </row>
    <row r="30" spans="1:9" x14ac:dyDescent="0.35">
      <c r="B30" s="1" t="s">
        <v>40</v>
      </c>
    </row>
  </sheetData>
  <sheetProtection algorithmName="SHA-512" hashValue="1BTa58JZjYYvVQjWb+Pex0syE/RAMJlU27CimMUw5UBqPh2XTrzZQ/g7NiPvk6mjTTAlvTDaehgihyuye+IUsg==" saltValue="V5K9UOAlnCVWSwtS7SEYYw==" spinCount="100000" sheet="1" objects="1" scenarios="1"/>
  <mergeCells count="6">
    <mergeCell ref="A21:I22"/>
    <mergeCell ref="A27:I28"/>
    <mergeCell ref="A1:I2"/>
    <mergeCell ref="A4:I4"/>
    <mergeCell ref="A9:I10"/>
    <mergeCell ref="A15:I15"/>
  </mergeCells>
  <hyperlinks>
    <hyperlink ref="A1:I2" location="Main!A1" display="აპიქსაბანი"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orksheet____5"/>
  <dimension ref="A1:I48"/>
  <sheetViews>
    <sheetView workbookViewId="0">
      <selection sqref="A1:I2"/>
    </sheetView>
  </sheetViews>
  <sheetFormatPr defaultColWidth="9.1796875" defaultRowHeight="14.5" x14ac:dyDescent="0.35"/>
  <cols>
    <col min="1" max="16384" width="9.1796875" style="1"/>
  </cols>
  <sheetData>
    <row r="1" spans="1:9" x14ac:dyDescent="0.35">
      <c r="A1" s="102" t="s">
        <v>13</v>
      </c>
      <c r="B1" s="102"/>
      <c r="C1" s="102"/>
      <c r="D1" s="102"/>
      <c r="E1" s="102"/>
      <c r="F1" s="102"/>
      <c r="G1" s="102"/>
      <c r="H1" s="102"/>
      <c r="I1" s="102"/>
    </row>
    <row r="2" spans="1:9" x14ac:dyDescent="0.35">
      <c r="A2" s="102"/>
      <c r="B2" s="102"/>
      <c r="C2" s="102"/>
      <c r="D2" s="102"/>
      <c r="E2" s="102"/>
      <c r="F2" s="102"/>
      <c r="G2" s="102"/>
      <c r="H2" s="102"/>
      <c r="I2" s="102"/>
    </row>
    <row r="4" spans="1:9" x14ac:dyDescent="0.35">
      <c r="A4" s="100" t="s">
        <v>15</v>
      </c>
      <c r="B4" s="100"/>
      <c r="C4" s="100"/>
      <c r="D4" s="100"/>
      <c r="E4" s="100"/>
      <c r="F4" s="100"/>
      <c r="G4" s="100"/>
      <c r="H4" s="100"/>
      <c r="I4" s="100"/>
    </row>
    <row r="6" spans="1:9" x14ac:dyDescent="0.35">
      <c r="B6" s="1" t="s">
        <v>42</v>
      </c>
    </row>
    <row r="7" spans="1:9" x14ac:dyDescent="0.35">
      <c r="B7" s="103" t="s">
        <v>43</v>
      </c>
      <c r="C7" s="103"/>
      <c r="D7" s="103"/>
      <c r="E7" s="103"/>
      <c r="F7" s="103"/>
      <c r="G7" s="103"/>
      <c r="H7" s="103"/>
      <c r="I7" s="103"/>
    </row>
    <row r="8" spans="1:9" x14ac:dyDescent="0.35">
      <c r="B8" s="103"/>
      <c r="C8" s="103"/>
      <c r="D8" s="103"/>
      <c r="E8" s="103"/>
      <c r="F8" s="103"/>
      <c r="G8" s="103"/>
      <c r="H8" s="103"/>
      <c r="I8" s="103"/>
    </row>
    <row r="9" spans="1:9" x14ac:dyDescent="0.35">
      <c r="C9" s="1" t="s">
        <v>18</v>
      </c>
    </row>
    <row r="10" spans="1:9" x14ac:dyDescent="0.35">
      <c r="C10" s="3" t="s">
        <v>21</v>
      </c>
    </row>
    <row r="11" spans="1:9" ht="15" customHeight="1" x14ac:dyDescent="0.35">
      <c r="C11" s="103" t="s">
        <v>44</v>
      </c>
      <c r="D11" s="103"/>
      <c r="E11" s="103"/>
      <c r="F11" s="103"/>
      <c r="G11" s="103"/>
      <c r="H11" s="103"/>
      <c r="I11" s="103"/>
    </row>
    <row r="12" spans="1:9" x14ac:dyDescent="0.35">
      <c r="C12" s="4" t="s">
        <v>21</v>
      </c>
      <c r="D12" s="10"/>
      <c r="E12" s="10"/>
      <c r="F12" s="10"/>
      <c r="G12" s="10"/>
      <c r="H12" s="10"/>
      <c r="I12" s="10"/>
    </row>
    <row r="13" spans="1:9" x14ac:dyDescent="0.35">
      <c r="C13" s="103" t="s">
        <v>45</v>
      </c>
      <c r="D13" s="103"/>
      <c r="E13" s="103"/>
      <c r="F13" s="103"/>
      <c r="G13" s="103"/>
      <c r="H13" s="103"/>
      <c r="I13" s="103"/>
    </row>
    <row r="14" spans="1:9" x14ac:dyDescent="0.35">
      <c r="C14" s="103"/>
      <c r="D14" s="103"/>
      <c r="E14" s="103"/>
      <c r="F14" s="103"/>
      <c r="G14" s="103"/>
      <c r="H14" s="103"/>
      <c r="I14" s="103"/>
    </row>
    <row r="17" spans="1:9" x14ac:dyDescent="0.35">
      <c r="A17" s="101" t="s">
        <v>23</v>
      </c>
      <c r="B17" s="101"/>
      <c r="C17" s="101"/>
      <c r="D17" s="101"/>
      <c r="E17" s="101"/>
      <c r="F17" s="101"/>
      <c r="G17" s="101"/>
      <c r="H17" s="101"/>
      <c r="I17" s="101"/>
    </row>
    <row r="18" spans="1:9" x14ac:dyDescent="0.35">
      <c r="A18" s="101"/>
      <c r="B18" s="101"/>
      <c r="C18" s="101"/>
      <c r="D18" s="101"/>
      <c r="E18" s="101"/>
      <c r="F18" s="101"/>
      <c r="G18" s="101"/>
      <c r="H18" s="101"/>
      <c r="I18" s="101"/>
    </row>
    <row r="20" spans="1:9" x14ac:dyDescent="0.35">
      <c r="B20" s="1" t="s">
        <v>42</v>
      </c>
    </row>
    <row r="21" spans="1:9" x14ac:dyDescent="0.35">
      <c r="B21" s="103" t="s">
        <v>43</v>
      </c>
      <c r="C21" s="103"/>
      <c r="D21" s="103"/>
      <c r="E21" s="103"/>
      <c r="F21" s="103"/>
      <c r="G21" s="103"/>
      <c r="H21" s="103"/>
      <c r="I21" s="103"/>
    </row>
    <row r="22" spans="1:9" x14ac:dyDescent="0.35">
      <c r="B22" s="103"/>
      <c r="C22" s="103"/>
      <c r="D22" s="103"/>
      <c r="E22" s="103"/>
      <c r="F22" s="103"/>
      <c r="G22" s="103"/>
      <c r="H22" s="103"/>
      <c r="I22" s="103"/>
    </row>
    <row r="23" spans="1:9" x14ac:dyDescent="0.35">
      <c r="C23" s="1" t="s">
        <v>18</v>
      </c>
    </row>
    <row r="24" spans="1:9" x14ac:dyDescent="0.35">
      <c r="C24" s="3" t="s">
        <v>21</v>
      </c>
    </row>
    <row r="25" spans="1:9" ht="15" customHeight="1" x14ac:dyDescent="0.35">
      <c r="C25" s="103" t="s">
        <v>44</v>
      </c>
      <c r="D25" s="103"/>
      <c r="E25" s="103"/>
      <c r="F25" s="103"/>
      <c r="G25" s="103"/>
      <c r="H25" s="103"/>
      <c r="I25" s="103"/>
    </row>
    <row r="26" spans="1:9" x14ac:dyDescent="0.35">
      <c r="C26" s="4" t="s">
        <v>21</v>
      </c>
      <c r="D26" s="10"/>
      <c r="E26" s="10"/>
      <c r="F26" s="10"/>
      <c r="G26" s="10"/>
      <c r="H26" s="10"/>
      <c r="I26" s="10"/>
    </row>
    <row r="27" spans="1:9" x14ac:dyDescent="0.35">
      <c r="C27" s="103" t="s">
        <v>45</v>
      </c>
      <c r="D27" s="103"/>
      <c r="E27" s="103"/>
      <c r="F27" s="103"/>
      <c r="G27" s="103"/>
      <c r="H27" s="103"/>
      <c r="I27" s="103"/>
    </row>
    <row r="28" spans="1:9" x14ac:dyDescent="0.35">
      <c r="C28" s="103"/>
      <c r="D28" s="103"/>
      <c r="E28" s="103"/>
      <c r="F28" s="103"/>
      <c r="G28" s="103"/>
      <c r="H28" s="103"/>
      <c r="I28" s="103"/>
    </row>
    <row r="29" spans="1:9" x14ac:dyDescent="0.35">
      <c r="C29" s="9"/>
      <c r="D29" s="9"/>
      <c r="E29" s="9"/>
      <c r="F29" s="9"/>
      <c r="G29" s="9"/>
      <c r="H29" s="9"/>
      <c r="I29" s="9"/>
    </row>
    <row r="31" spans="1:9" x14ac:dyDescent="0.35">
      <c r="A31" s="100" t="s">
        <v>24</v>
      </c>
      <c r="B31" s="100"/>
      <c r="C31" s="100"/>
      <c r="D31" s="100"/>
      <c r="E31" s="100"/>
      <c r="F31" s="100"/>
      <c r="G31" s="100"/>
      <c r="H31" s="100"/>
      <c r="I31" s="100"/>
    </row>
    <row r="33" spans="1:9" x14ac:dyDescent="0.35">
      <c r="B33" s="1" t="s">
        <v>37</v>
      </c>
    </row>
    <row r="34" spans="1:9" x14ac:dyDescent="0.35">
      <c r="B34" s="103" t="s">
        <v>46</v>
      </c>
      <c r="C34" s="103"/>
      <c r="D34" s="103"/>
      <c r="E34" s="103"/>
      <c r="F34" s="103"/>
      <c r="G34" s="103"/>
      <c r="H34" s="103"/>
      <c r="I34" s="103"/>
    </row>
    <row r="35" spans="1:9" x14ac:dyDescent="0.35">
      <c r="B35" s="103"/>
      <c r="C35" s="103"/>
      <c r="D35" s="103"/>
      <c r="E35" s="103"/>
      <c r="F35" s="103"/>
      <c r="G35" s="103"/>
      <c r="H35" s="103"/>
      <c r="I35" s="103"/>
    </row>
    <row r="38" spans="1:9" x14ac:dyDescent="0.35">
      <c r="A38" s="101" t="s">
        <v>27</v>
      </c>
      <c r="B38" s="101"/>
      <c r="C38" s="101"/>
      <c r="D38" s="101"/>
      <c r="E38" s="101"/>
      <c r="F38" s="101"/>
      <c r="G38" s="101"/>
      <c r="H38" s="101"/>
      <c r="I38" s="101"/>
    </row>
    <row r="39" spans="1:9" x14ac:dyDescent="0.35">
      <c r="A39" s="101"/>
      <c r="B39" s="101"/>
      <c r="C39" s="101"/>
      <c r="D39" s="101"/>
      <c r="E39" s="101"/>
      <c r="F39" s="101"/>
      <c r="G39" s="101"/>
      <c r="H39" s="101"/>
      <c r="I39" s="101"/>
    </row>
    <row r="41" spans="1:9" x14ac:dyDescent="0.35">
      <c r="B41" s="1" t="s">
        <v>47</v>
      </c>
    </row>
    <row r="44" spans="1:9" x14ac:dyDescent="0.35">
      <c r="A44" s="101" t="s">
        <v>28</v>
      </c>
      <c r="B44" s="101"/>
      <c r="C44" s="101"/>
      <c r="D44" s="101"/>
      <c r="E44" s="101"/>
      <c r="F44" s="101"/>
      <c r="G44" s="101"/>
      <c r="H44" s="101"/>
      <c r="I44" s="101"/>
    </row>
    <row r="45" spans="1:9" x14ac:dyDescent="0.35">
      <c r="A45" s="101"/>
      <c r="B45" s="101"/>
      <c r="C45" s="101"/>
      <c r="D45" s="101"/>
      <c r="E45" s="101"/>
      <c r="F45" s="101"/>
      <c r="G45" s="101"/>
      <c r="H45" s="101"/>
      <c r="I45" s="101"/>
    </row>
    <row r="47" spans="1:9" x14ac:dyDescent="0.35">
      <c r="B47" s="103" t="s">
        <v>48</v>
      </c>
      <c r="C47" s="103"/>
      <c r="D47" s="103"/>
      <c r="E47" s="103"/>
      <c r="F47" s="103"/>
      <c r="G47" s="103"/>
      <c r="H47" s="103"/>
      <c r="I47" s="103"/>
    </row>
    <row r="48" spans="1:9" x14ac:dyDescent="0.35">
      <c r="B48" s="103"/>
      <c r="C48" s="103"/>
      <c r="D48" s="103"/>
      <c r="E48" s="103"/>
      <c r="F48" s="103"/>
      <c r="G48" s="103"/>
      <c r="H48" s="103"/>
      <c r="I48" s="103"/>
    </row>
  </sheetData>
  <sheetProtection algorithmName="SHA-512" hashValue="zTRJtge/EUk6OFgnbD/I+UdtwNVtbAWmHZ0DjMeGwHGlzgf2/DROfAzohlVTnvledLcP6/oCiAONz+YmdOsDJQ==" saltValue="jeU3JVjB/fH72M5sLk+wwA==" spinCount="100000" sheet="1" objects="1" scenarios="1"/>
  <mergeCells count="14">
    <mergeCell ref="B47:I48"/>
    <mergeCell ref="A38:I39"/>
    <mergeCell ref="A44:I45"/>
    <mergeCell ref="C11:I11"/>
    <mergeCell ref="C13:I14"/>
    <mergeCell ref="C25:I25"/>
    <mergeCell ref="C27:I28"/>
    <mergeCell ref="B34:I35"/>
    <mergeCell ref="A31:I31"/>
    <mergeCell ref="A1:I2"/>
    <mergeCell ref="A4:I4"/>
    <mergeCell ref="B7:I8"/>
    <mergeCell ref="A17:I18"/>
    <mergeCell ref="B21:I22"/>
  </mergeCells>
  <hyperlinks>
    <hyperlink ref="A1:I2" location="Main!A1" display="აპიქსაბანი"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Worksheet____6"/>
  <dimension ref="A1:I50"/>
  <sheetViews>
    <sheetView workbookViewId="0">
      <selection sqref="A1:I2"/>
    </sheetView>
  </sheetViews>
  <sheetFormatPr defaultColWidth="9.1796875" defaultRowHeight="14.5" x14ac:dyDescent="0.35"/>
  <cols>
    <col min="1" max="16384" width="9.1796875" style="1"/>
  </cols>
  <sheetData>
    <row r="1" spans="1:9" x14ac:dyDescent="0.35">
      <c r="A1" s="102" t="s">
        <v>14</v>
      </c>
      <c r="B1" s="102"/>
      <c r="C1" s="102"/>
      <c r="D1" s="102"/>
      <c r="E1" s="102"/>
      <c r="F1" s="102"/>
      <c r="G1" s="102"/>
      <c r="H1" s="102"/>
      <c r="I1" s="102"/>
    </row>
    <row r="2" spans="1:9" x14ac:dyDescent="0.35">
      <c r="A2" s="102"/>
      <c r="B2" s="102"/>
      <c r="C2" s="102"/>
      <c r="D2" s="102"/>
      <c r="E2" s="102"/>
      <c r="F2" s="102"/>
      <c r="G2" s="102"/>
      <c r="H2" s="102"/>
      <c r="I2" s="102"/>
    </row>
    <row r="4" spans="1:9" x14ac:dyDescent="0.35">
      <c r="A4" s="100" t="s">
        <v>15</v>
      </c>
      <c r="B4" s="100"/>
      <c r="C4" s="100"/>
      <c r="D4" s="100"/>
      <c r="E4" s="100"/>
      <c r="F4" s="100"/>
      <c r="G4" s="100"/>
      <c r="H4" s="100"/>
      <c r="I4" s="100"/>
    </row>
    <row r="6" spans="1:9" x14ac:dyDescent="0.35">
      <c r="B6" s="1" t="s">
        <v>49</v>
      </c>
    </row>
    <row r="7" spans="1:9" x14ac:dyDescent="0.35">
      <c r="B7" s="103" t="s">
        <v>50</v>
      </c>
      <c r="C7" s="103"/>
      <c r="D7" s="103"/>
      <c r="E7" s="103"/>
      <c r="F7" s="103"/>
      <c r="G7" s="103"/>
      <c r="H7" s="103"/>
      <c r="I7" s="103"/>
    </row>
    <row r="8" spans="1:9" x14ac:dyDescent="0.35">
      <c r="B8" s="103"/>
      <c r="C8" s="103"/>
      <c r="D8" s="103"/>
      <c r="E8" s="103"/>
      <c r="F8" s="103"/>
      <c r="G8" s="103"/>
      <c r="H8" s="103"/>
      <c r="I8" s="103"/>
    </row>
    <row r="10" spans="1:9" x14ac:dyDescent="0.35">
      <c r="A10" s="101" t="s">
        <v>23</v>
      </c>
      <c r="B10" s="101"/>
      <c r="C10" s="101"/>
      <c r="D10" s="101"/>
      <c r="E10" s="101"/>
      <c r="F10" s="101"/>
      <c r="G10" s="101"/>
      <c r="H10" s="101"/>
      <c r="I10" s="101"/>
    </row>
    <row r="11" spans="1:9" x14ac:dyDescent="0.35">
      <c r="A11" s="101"/>
      <c r="B11" s="101"/>
      <c r="C11" s="101"/>
      <c r="D11" s="101"/>
      <c r="E11" s="101"/>
      <c r="F11" s="101"/>
      <c r="G11" s="101"/>
      <c r="H11" s="101"/>
      <c r="I11" s="101"/>
    </row>
    <row r="13" spans="1:9" x14ac:dyDescent="0.35">
      <c r="B13" s="1" t="s">
        <v>51</v>
      </c>
    </row>
    <row r="14" spans="1:9" x14ac:dyDescent="0.35">
      <c r="B14" s="103" t="s">
        <v>52</v>
      </c>
      <c r="C14" s="103"/>
      <c r="D14" s="103"/>
      <c r="E14" s="103"/>
      <c r="F14" s="103"/>
      <c r="G14" s="103"/>
      <c r="H14" s="103"/>
      <c r="I14" s="103"/>
    </row>
    <row r="15" spans="1:9" x14ac:dyDescent="0.35">
      <c r="B15" s="103"/>
      <c r="C15" s="103"/>
      <c r="D15" s="103"/>
      <c r="E15" s="103"/>
      <c r="F15" s="103"/>
      <c r="G15" s="103"/>
      <c r="H15" s="103"/>
      <c r="I15" s="103"/>
    </row>
    <row r="18" spans="1:9" x14ac:dyDescent="0.35">
      <c r="A18" s="100" t="s">
        <v>24</v>
      </c>
      <c r="B18" s="100"/>
      <c r="C18" s="100"/>
      <c r="D18" s="100"/>
      <c r="E18" s="100"/>
      <c r="F18" s="100"/>
      <c r="G18" s="100"/>
      <c r="H18" s="100"/>
      <c r="I18" s="100"/>
    </row>
    <row r="20" spans="1:9" x14ac:dyDescent="0.35">
      <c r="B20" s="1" t="s">
        <v>53</v>
      </c>
    </row>
    <row r="21" spans="1:9" x14ac:dyDescent="0.35">
      <c r="B21" s="1" t="s">
        <v>54</v>
      </c>
    </row>
    <row r="24" spans="1:9" x14ac:dyDescent="0.35">
      <c r="A24" s="101" t="s">
        <v>27</v>
      </c>
      <c r="B24" s="101"/>
      <c r="C24" s="101"/>
      <c r="D24" s="101"/>
      <c r="E24" s="101"/>
      <c r="F24" s="101"/>
      <c r="G24" s="101"/>
      <c r="H24" s="101"/>
      <c r="I24" s="101"/>
    </row>
    <row r="25" spans="1:9" x14ac:dyDescent="0.35">
      <c r="A25" s="101"/>
      <c r="B25" s="101"/>
      <c r="C25" s="101"/>
      <c r="D25" s="101"/>
      <c r="E25" s="101"/>
      <c r="F25" s="101"/>
      <c r="G25" s="101"/>
      <c r="H25" s="101"/>
      <c r="I25" s="101"/>
    </row>
    <row r="27" spans="1:9" x14ac:dyDescent="0.35">
      <c r="B27" s="1" t="s">
        <v>55</v>
      </c>
    </row>
    <row r="30" spans="1:9" x14ac:dyDescent="0.35">
      <c r="A30" s="101" t="s">
        <v>28</v>
      </c>
      <c r="B30" s="101"/>
      <c r="C30" s="101"/>
      <c r="D30" s="101"/>
      <c r="E30" s="101"/>
      <c r="F30" s="101"/>
      <c r="G30" s="101"/>
      <c r="H30" s="101"/>
      <c r="I30" s="101"/>
    </row>
    <row r="31" spans="1:9" x14ac:dyDescent="0.35">
      <c r="A31" s="101"/>
      <c r="B31" s="101"/>
      <c r="C31" s="101"/>
      <c r="D31" s="101"/>
      <c r="E31" s="101"/>
      <c r="F31" s="101"/>
      <c r="G31" s="101"/>
      <c r="H31" s="101"/>
      <c r="I31" s="101"/>
    </row>
    <row r="33" spans="1:9" x14ac:dyDescent="0.35">
      <c r="B33" s="1" t="s">
        <v>55</v>
      </c>
    </row>
    <row r="36" spans="1:9" x14ac:dyDescent="0.35">
      <c r="A36" s="101" t="s">
        <v>56</v>
      </c>
      <c r="B36" s="101"/>
      <c r="C36" s="101"/>
      <c r="D36" s="101"/>
      <c r="E36" s="101"/>
      <c r="F36" s="101"/>
      <c r="G36" s="101"/>
      <c r="H36" s="101"/>
      <c r="I36" s="101"/>
    </row>
    <row r="37" spans="1:9" x14ac:dyDescent="0.35">
      <c r="A37" s="101"/>
      <c r="B37" s="101"/>
      <c r="C37" s="101"/>
      <c r="D37" s="101"/>
      <c r="E37" s="101"/>
      <c r="F37" s="101"/>
      <c r="G37" s="101"/>
      <c r="H37" s="101"/>
      <c r="I37" s="101"/>
    </row>
    <row r="38" spans="1:9" x14ac:dyDescent="0.35">
      <c r="A38" s="101"/>
      <c r="B38" s="101"/>
      <c r="C38" s="101"/>
      <c r="D38" s="101"/>
      <c r="E38" s="101"/>
      <c r="F38" s="101"/>
      <c r="G38" s="101"/>
      <c r="H38" s="101"/>
      <c r="I38" s="101"/>
    </row>
    <row r="40" spans="1:9" x14ac:dyDescent="0.35">
      <c r="B40" s="103" t="s">
        <v>57</v>
      </c>
      <c r="C40" s="103"/>
      <c r="D40" s="103"/>
      <c r="E40" s="103"/>
      <c r="F40" s="103"/>
      <c r="G40" s="103"/>
      <c r="H40" s="103"/>
      <c r="I40" s="103"/>
    </row>
    <row r="41" spans="1:9" x14ac:dyDescent="0.35">
      <c r="B41" s="103"/>
      <c r="C41" s="103"/>
      <c r="D41" s="103"/>
      <c r="E41" s="103"/>
      <c r="F41" s="103"/>
      <c r="G41" s="103"/>
      <c r="H41" s="103"/>
      <c r="I41" s="103"/>
    </row>
    <row r="44" spans="1:9" ht="15" customHeight="1" x14ac:dyDescent="0.35">
      <c r="A44" s="101" t="s">
        <v>58</v>
      </c>
      <c r="B44" s="101"/>
      <c r="C44" s="101"/>
      <c r="D44" s="101"/>
      <c r="E44" s="101"/>
      <c r="F44" s="101"/>
      <c r="G44" s="101"/>
      <c r="H44" s="101"/>
      <c r="I44" s="101"/>
    </row>
    <row r="45" spans="1:9" x14ac:dyDescent="0.35">
      <c r="A45" s="101"/>
      <c r="B45" s="101"/>
      <c r="C45" s="101"/>
      <c r="D45" s="101"/>
      <c r="E45" s="101"/>
      <c r="F45" s="101"/>
      <c r="G45" s="101"/>
      <c r="H45" s="101"/>
      <c r="I45" s="101"/>
    </row>
    <row r="46" spans="1:9" x14ac:dyDescent="0.35">
      <c r="A46" s="101"/>
      <c r="B46" s="101"/>
      <c r="C46" s="101"/>
      <c r="D46" s="101"/>
      <c r="E46" s="101"/>
      <c r="F46" s="101"/>
      <c r="G46" s="101"/>
      <c r="H46" s="101"/>
      <c r="I46" s="101"/>
    </row>
    <row r="47" spans="1:9" x14ac:dyDescent="0.35">
      <c r="A47" s="101"/>
      <c r="B47" s="101"/>
      <c r="C47" s="101"/>
      <c r="D47" s="101"/>
      <c r="E47" s="101"/>
      <c r="F47" s="101"/>
      <c r="G47" s="101"/>
      <c r="H47" s="101"/>
      <c r="I47" s="101"/>
    </row>
    <row r="49" spans="2:9" ht="15" customHeight="1" x14ac:dyDescent="0.35">
      <c r="B49" s="103" t="s">
        <v>59</v>
      </c>
      <c r="C49" s="103"/>
      <c r="D49" s="103"/>
      <c r="E49" s="103"/>
      <c r="F49" s="103"/>
      <c r="G49" s="103"/>
      <c r="H49" s="103"/>
      <c r="I49" s="103"/>
    </row>
    <row r="50" spans="2:9" x14ac:dyDescent="0.35">
      <c r="B50" s="10"/>
      <c r="C50" s="10"/>
      <c r="D50" s="10"/>
      <c r="E50" s="10"/>
      <c r="F50" s="10"/>
      <c r="G50" s="10"/>
      <c r="H50" s="10"/>
      <c r="I50" s="10"/>
    </row>
  </sheetData>
  <sheetProtection algorithmName="SHA-512" hashValue="o3AgYD51XeDYGbaqCkQzAZ0PI75A+4VJSU8AaKcJWU1Cw8VHryh7xhTbR9Tvqmmq7QviB6iGtDj+dN1d8b4iJQ==" saltValue="DMWBUfkTZTXM3gq2Xg8VfQ==" spinCount="100000" sheet="1" objects="1" scenarios="1"/>
  <mergeCells count="12">
    <mergeCell ref="B49:I49"/>
    <mergeCell ref="A24:I25"/>
    <mergeCell ref="A30:I31"/>
    <mergeCell ref="A36:I38"/>
    <mergeCell ref="B40:I41"/>
    <mergeCell ref="A44:I47"/>
    <mergeCell ref="A18:I18"/>
    <mergeCell ref="A1:I2"/>
    <mergeCell ref="A4:I4"/>
    <mergeCell ref="B7:I8"/>
    <mergeCell ref="A10:I11"/>
    <mergeCell ref="B14:I15"/>
  </mergeCells>
  <hyperlinks>
    <hyperlink ref="A1:I2" location="Main!A1" display="აპიქსაბანი" xr:uid="{00000000-0004-0000-0400-000000000000}"/>
  </hyperlink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orksheet____7"/>
  <dimension ref="A1:I45"/>
  <sheetViews>
    <sheetView workbookViewId="0">
      <selection activeCell="A38" sqref="A38"/>
    </sheetView>
  </sheetViews>
  <sheetFormatPr defaultColWidth="9.1796875" defaultRowHeight="14.5" x14ac:dyDescent="0.35"/>
  <cols>
    <col min="1" max="16384" width="9.1796875" style="1"/>
  </cols>
  <sheetData>
    <row r="1" spans="1:9" ht="15" customHeight="1" x14ac:dyDescent="0.35">
      <c r="A1" s="104" t="s">
        <v>61</v>
      </c>
      <c r="B1" s="104"/>
      <c r="C1" s="104"/>
      <c r="D1" s="104"/>
      <c r="E1" s="104"/>
      <c r="F1" s="104"/>
      <c r="G1" s="104"/>
      <c r="H1" s="104"/>
      <c r="I1" s="104"/>
    </row>
    <row r="2" spans="1:9" ht="15" customHeight="1" x14ac:dyDescent="0.35">
      <c r="A2" s="104"/>
      <c r="B2" s="104"/>
      <c r="C2" s="104"/>
      <c r="D2" s="104"/>
      <c r="E2" s="104"/>
      <c r="F2" s="104"/>
      <c r="G2" s="104"/>
      <c r="H2" s="104"/>
      <c r="I2" s="104"/>
    </row>
    <row r="3" spans="1:9" x14ac:dyDescent="0.35">
      <c r="A3" s="104"/>
      <c r="B3" s="104"/>
      <c r="C3" s="104"/>
      <c r="D3" s="104"/>
      <c r="E3" s="104"/>
      <c r="F3" s="104"/>
      <c r="G3" s="104"/>
      <c r="H3" s="104"/>
      <c r="I3" s="104"/>
    </row>
    <row r="5" spans="1:9" x14ac:dyDescent="0.35">
      <c r="A5" s="100" t="s">
        <v>467</v>
      </c>
      <c r="B5" s="100"/>
      <c r="C5" s="100"/>
      <c r="D5" s="100"/>
      <c r="E5" s="100"/>
      <c r="F5" s="100"/>
      <c r="G5" s="100"/>
      <c r="H5" s="100"/>
      <c r="I5" s="100"/>
    </row>
    <row r="6" spans="1:9" ht="15" customHeight="1" x14ac:dyDescent="0.35">
      <c r="B6" s="103" t="s">
        <v>62</v>
      </c>
      <c r="C6" s="103"/>
      <c r="D6" s="103"/>
      <c r="E6" s="103"/>
      <c r="F6" s="103"/>
      <c r="G6" s="103"/>
      <c r="H6" s="103"/>
      <c r="I6" s="103"/>
    </row>
    <row r="7" spans="1:9" x14ac:dyDescent="0.35">
      <c r="B7" s="103"/>
      <c r="C7" s="103"/>
      <c r="D7" s="103"/>
      <c r="E7" s="103"/>
      <c r="F7" s="103"/>
      <c r="G7" s="103"/>
      <c r="H7" s="103"/>
      <c r="I7" s="103"/>
    </row>
    <row r="8" spans="1:9" x14ac:dyDescent="0.35">
      <c r="B8" s="103"/>
      <c r="C8" s="103"/>
      <c r="D8" s="103"/>
      <c r="E8" s="103"/>
      <c r="F8" s="103"/>
      <c r="G8" s="103"/>
      <c r="H8" s="103"/>
      <c r="I8" s="103"/>
    </row>
    <row r="9" spans="1:9" x14ac:dyDescent="0.35">
      <c r="B9" s="103"/>
      <c r="C9" s="103"/>
      <c r="D9" s="103"/>
      <c r="E9" s="103"/>
      <c r="F9" s="103"/>
      <c r="G9" s="103"/>
      <c r="H9" s="103"/>
      <c r="I9" s="103"/>
    </row>
    <row r="10" spans="1:9" x14ac:dyDescent="0.35">
      <c r="B10" s="103"/>
      <c r="C10" s="103"/>
      <c r="D10" s="103"/>
      <c r="E10" s="103"/>
      <c r="F10" s="103"/>
      <c r="G10" s="103"/>
      <c r="H10" s="103"/>
      <c r="I10" s="103"/>
    </row>
    <row r="12" spans="1:9" x14ac:dyDescent="0.35">
      <c r="A12" s="100" t="s">
        <v>66</v>
      </c>
      <c r="B12" s="100"/>
      <c r="C12" s="100"/>
      <c r="D12" s="100"/>
      <c r="E12" s="100"/>
      <c r="F12" s="100"/>
      <c r="G12" s="100"/>
      <c r="H12" s="100"/>
      <c r="I12" s="100"/>
    </row>
    <row r="13" spans="1:9" ht="15" customHeight="1" x14ac:dyDescent="0.35">
      <c r="B13" s="1" t="s">
        <v>63</v>
      </c>
    </row>
    <row r="14" spans="1:9" ht="15" customHeight="1" x14ac:dyDescent="0.35">
      <c r="B14" s="103" t="s">
        <v>64</v>
      </c>
      <c r="C14" s="103"/>
      <c r="D14" s="103"/>
      <c r="E14" s="103"/>
      <c r="F14" s="103"/>
      <c r="G14" s="103"/>
      <c r="H14" s="103"/>
      <c r="I14" s="103"/>
    </row>
    <row r="15" spans="1:9" x14ac:dyDescent="0.35">
      <c r="B15" s="103"/>
      <c r="C15" s="103"/>
      <c r="D15" s="103"/>
      <c r="E15" s="103"/>
      <c r="F15" s="103"/>
      <c r="G15" s="103"/>
      <c r="H15" s="103"/>
      <c r="I15" s="103"/>
    </row>
    <row r="16" spans="1:9" x14ac:dyDescent="0.35">
      <c r="B16" s="5" t="s">
        <v>65</v>
      </c>
      <c r="C16" s="5"/>
      <c r="D16" s="5"/>
      <c r="E16" s="5"/>
      <c r="F16" s="5"/>
      <c r="G16" s="5"/>
      <c r="H16" s="5"/>
      <c r="I16" s="5"/>
    </row>
    <row r="18" spans="1:9" x14ac:dyDescent="0.35">
      <c r="A18" s="100" t="s">
        <v>67</v>
      </c>
      <c r="B18" s="100"/>
      <c r="C18" s="100"/>
      <c r="D18" s="100"/>
      <c r="E18" s="100"/>
      <c r="F18" s="100"/>
      <c r="G18" s="100"/>
      <c r="H18" s="100"/>
      <c r="I18" s="100"/>
    </row>
    <row r="20" spans="1:9" x14ac:dyDescent="0.35">
      <c r="A20" s="100" t="s">
        <v>68</v>
      </c>
      <c r="B20" s="100"/>
      <c r="C20" s="100"/>
      <c r="D20" s="100"/>
      <c r="E20" s="100"/>
      <c r="F20" s="100"/>
      <c r="G20" s="100"/>
      <c r="H20" s="100"/>
      <c r="I20" s="100"/>
    </row>
    <row r="22" spans="1:9" x14ac:dyDescent="0.35">
      <c r="A22" s="100" t="s">
        <v>69</v>
      </c>
      <c r="B22" s="100"/>
      <c r="C22" s="100"/>
      <c r="D22" s="100"/>
      <c r="E22" s="100"/>
      <c r="F22" s="100"/>
      <c r="G22" s="100"/>
      <c r="H22" s="100"/>
      <c r="I22" s="100"/>
    </row>
    <row r="24" spans="1:9" x14ac:dyDescent="0.35">
      <c r="A24" s="101" t="s">
        <v>70</v>
      </c>
      <c r="B24" s="101"/>
      <c r="C24" s="101"/>
      <c r="D24" s="101"/>
      <c r="E24" s="101"/>
      <c r="F24" s="101"/>
      <c r="G24" s="101"/>
      <c r="H24" s="101"/>
      <c r="I24" s="101"/>
    </row>
    <row r="25" spans="1:9" x14ac:dyDescent="0.35">
      <c r="A25" s="101"/>
      <c r="B25" s="101"/>
      <c r="C25" s="101"/>
      <c r="D25" s="101"/>
      <c r="E25" s="101"/>
      <c r="F25" s="101"/>
      <c r="G25" s="101"/>
      <c r="H25" s="101"/>
      <c r="I25" s="101"/>
    </row>
    <row r="26" spans="1:9" ht="15" customHeight="1" x14ac:dyDescent="0.35">
      <c r="B26" s="103" t="s">
        <v>71</v>
      </c>
      <c r="C26" s="103"/>
      <c r="D26" s="103"/>
      <c r="E26" s="103"/>
      <c r="F26" s="103"/>
      <c r="G26" s="103"/>
      <c r="H26" s="103"/>
      <c r="I26" s="103"/>
    </row>
    <row r="27" spans="1:9" x14ac:dyDescent="0.35">
      <c r="B27" s="103"/>
      <c r="C27" s="103"/>
      <c r="D27" s="103"/>
      <c r="E27" s="103"/>
      <c r="F27" s="103"/>
      <c r="G27" s="103"/>
      <c r="H27" s="103"/>
      <c r="I27" s="103"/>
    </row>
    <row r="28" spans="1:9" x14ac:dyDescent="0.35">
      <c r="A28" s="10"/>
      <c r="B28" s="105" t="s">
        <v>73</v>
      </c>
      <c r="C28" s="105"/>
      <c r="D28" s="105"/>
      <c r="E28" s="105"/>
      <c r="F28" s="105"/>
      <c r="G28" s="105"/>
      <c r="H28" s="105"/>
      <c r="I28" s="105"/>
    </row>
    <row r="29" spans="1:9" ht="15" customHeight="1" x14ac:dyDescent="0.35">
      <c r="B29" s="103" t="s">
        <v>72</v>
      </c>
      <c r="C29" s="103"/>
      <c r="D29" s="103"/>
      <c r="E29" s="103"/>
      <c r="F29" s="103"/>
      <c r="G29" s="103"/>
      <c r="H29" s="103"/>
      <c r="I29" s="103"/>
    </row>
    <row r="30" spans="1:9" x14ac:dyDescent="0.35">
      <c r="B30" s="103"/>
      <c r="C30" s="103"/>
      <c r="D30" s="103"/>
      <c r="E30" s="103"/>
      <c r="F30" s="103"/>
      <c r="G30" s="103"/>
      <c r="H30" s="103"/>
      <c r="I30" s="103"/>
    </row>
    <row r="31" spans="1:9" x14ac:dyDescent="0.35">
      <c r="B31" s="103"/>
      <c r="C31" s="103"/>
      <c r="D31" s="103"/>
      <c r="E31" s="103"/>
      <c r="F31" s="103"/>
      <c r="G31" s="103"/>
      <c r="H31" s="103"/>
      <c r="I31" s="103"/>
    </row>
    <row r="32" spans="1:9" x14ac:dyDescent="0.35">
      <c r="B32" s="103"/>
      <c r="C32" s="103"/>
      <c r="D32" s="103"/>
      <c r="E32" s="103"/>
      <c r="F32" s="103"/>
      <c r="G32" s="103"/>
      <c r="H32" s="103"/>
      <c r="I32" s="103"/>
    </row>
    <row r="33" spans="1:9" x14ac:dyDescent="0.35">
      <c r="A33" s="100" t="s">
        <v>74</v>
      </c>
      <c r="B33" s="100"/>
      <c r="C33" s="100"/>
      <c r="D33" s="100"/>
      <c r="E33" s="100"/>
      <c r="F33" s="100"/>
      <c r="G33" s="100"/>
      <c r="H33" s="100"/>
      <c r="I33" s="100"/>
    </row>
    <row r="34" spans="1:9" ht="16.5" x14ac:dyDescent="0.45">
      <c r="B34" s="1" t="s">
        <v>75</v>
      </c>
    </row>
    <row r="36" spans="1:9" x14ac:dyDescent="0.35">
      <c r="A36" s="101" t="s">
        <v>468</v>
      </c>
      <c r="B36" s="101"/>
      <c r="C36" s="101"/>
      <c r="D36" s="101"/>
      <c r="E36" s="101"/>
      <c r="F36" s="101"/>
      <c r="G36" s="101"/>
      <c r="H36" s="101"/>
      <c r="I36" s="101"/>
    </row>
    <row r="37" spans="1:9" x14ac:dyDescent="0.35">
      <c r="A37" s="101"/>
      <c r="B37" s="101"/>
      <c r="C37" s="101"/>
      <c r="D37" s="101"/>
      <c r="E37" s="101"/>
      <c r="F37" s="101"/>
      <c r="G37" s="101"/>
      <c r="H37" s="101"/>
      <c r="I37" s="101"/>
    </row>
    <row r="38" spans="1:9" x14ac:dyDescent="0.35">
      <c r="B38" s="1" t="s">
        <v>76</v>
      </c>
    </row>
    <row r="39" spans="1:9" x14ac:dyDescent="0.35">
      <c r="B39" s="103" t="s">
        <v>77</v>
      </c>
      <c r="C39" s="103"/>
      <c r="D39" s="103"/>
      <c r="E39" s="103"/>
      <c r="F39" s="103"/>
      <c r="G39" s="103"/>
      <c r="H39" s="103"/>
      <c r="I39" s="103"/>
    </row>
    <row r="40" spans="1:9" x14ac:dyDescent="0.35">
      <c r="B40" s="103"/>
      <c r="C40" s="103"/>
      <c r="D40" s="103"/>
      <c r="E40" s="103"/>
      <c r="F40" s="103"/>
      <c r="G40" s="103"/>
      <c r="H40" s="103"/>
      <c r="I40" s="103"/>
    </row>
    <row r="41" spans="1:9" x14ac:dyDescent="0.35">
      <c r="B41" s="1" t="s">
        <v>78</v>
      </c>
    </row>
    <row r="42" spans="1:9" x14ac:dyDescent="0.35">
      <c r="B42" s="1" t="s">
        <v>79</v>
      </c>
    </row>
    <row r="43" spans="1:9" x14ac:dyDescent="0.35">
      <c r="B43" s="1" t="s">
        <v>80</v>
      </c>
    </row>
    <row r="45" spans="1:9" x14ac:dyDescent="0.35">
      <c r="A45" s="100" t="s">
        <v>81</v>
      </c>
      <c r="B45" s="100"/>
      <c r="C45" s="100"/>
      <c r="D45" s="100"/>
      <c r="E45" s="100"/>
      <c r="F45" s="100"/>
      <c r="G45" s="100"/>
      <c r="H45" s="100"/>
      <c r="I45" s="100"/>
    </row>
  </sheetData>
  <sheetProtection algorithmName="SHA-512" hashValue="ayPNl3nB7UPVsRihVQvrPSTXcsOkBDl/paqo+SgoYHhAf6jRGBKpPh9SqioXhcpQaDFIV4m8B0A5hNeewslqNg==" saltValue="/Fk2GloQgnLo1AkIKM2JzA==" spinCount="100000" sheet="1" objects="1" scenarios="1"/>
  <mergeCells count="16">
    <mergeCell ref="B39:I40"/>
    <mergeCell ref="A45:I45"/>
    <mergeCell ref="B29:I32"/>
    <mergeCell ref="A33:I33"/>
    <mergeCell ref="B14:I15"/>
    <mergeCell ref="A36:I37"/>
    <mergeCell ref="A24:I25"/>
    <mergeCell ref="B26:I27"/>
    <mergeCell ref="B28:I28"/>
    <mergeCell ref="A12:I12"/>
    <mergeCell ref="A18:I18"/>
    <mergeCell ref="A20:I20"/>
    <mergeCell ref="A22:I22"/>
    <mergeCell ref="A1:I3"/>
    <mergeCell ref="A5:I5"/>
    <mergeCell ref="B6:I10"/>
  </mergeCells>
  <hyperlinks>
    <hyperlink ref="A1:I3" location="Main!A1" display="შემდგომი დაკვირვების საკონტროლო პუნქტების ჩამონათვალი" xr:uid="{00000000-0004-0000-0500-000000000000}"/>
  </hyperlink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Worksheet____8"/>
  <dimension ref="A1:AB65"/>
  <sheetViews>
    <sheetView workbookViewId="0">
      <selection activeCell="I55" sqref="I55"/>
    </sheetView>
  </sheetViews>
  <sheetFormatPr defaultColWidth="9.1796875" defaultRowHeight="14.5" x14ac:dyDescent="0.35"/>
  <cols>
    <col min="1" max="27" width="9.1796875" style="1"/>
    <col min="28" max="28" width="9.1796875" style="17"/>
    <col min="29" max="16384" width="9.1796875" style="1"/>
  </cols>
  <sheetData>
    <row r="1" spans="1:28" ht="15" customHeight="1" x14ac:dyDescent="0.35">
      <c r="A1" s="106" t="s">
        <v>83</v>
      </c>
      <c r="B1" s="106"/>
      <c r="C1" s="106"/>
      <c r="D1" s="106"/>
      <c r="E1" s="106"/>
      <c r="F1" s="106"/>
      <c r="G1" s="106"/>
      <c r="H1" s="106"/>
      <c r="I1" s="106"/>
    </row>
    <row r="2" spans="1:28" ht="15" customHeight="1" x14ac:dyDescent="0.35">
      <c r="A2" s="106"/>
      <c r="B2" s="106"/>
      <c r="C2" s="106"/>
      <c r="D2" s="106"/>
      <c r="E2" s="106"/>
      <c r="F2" s="106"/>
      <c r="G2" s="106"/>
      <c r="H2" s="106"/>
      <c r="I2" s="106"/>
      <c r="AB2" s="18" t="s">
        <v>86</v>
      </c>
    </row>
    <row r="3" spans="1:28" x14ac:dyDescent="0.35">
      <c r="A3" s="106"/>
      <c r="B3" s="106"/>
      <c r="C3" s="106"/>
      <c r="D3" s="106"/>
      <c r="E3" s="106"/>
      <c r="F3" s="106"/>
      <c r="G3" s="106"/>
      <c r="H3" s="106"/>
      <c r="I3" s="106"/>
      <c r="AB3" s="17" t="s">
        <v>87</v>
      </c>
    </row>
    <row r="4" spans="1:28" x14ac:dyDescent="0.35">
      <c r="AB4" s="18" t="s">
        <v>88</v>
      </c>
    </row>
    <row r="5" spans="1:28" x14ac:dyDescent="0.35">
      <c r="A5" s="101" t="s">
        <v>84</v>
      </c>
      <c r="B5" s="101"/>
      <c r="C5" s="101"/>
      <c r="D5" s="101"/>
      <c r="E5" s="101"/>
      <c r="F5" s="101"/>
      <c r="G5" s="101"/>
      <c r="H5" s="101"/>
      <c r="I5" s="101"/>
      <c r="AB5" s="17" t="s">
        <v>89</v>
      </c>
    </row>
    <row r="6" spans="1:28" x14ac:dyDescent="0.35">
      <c r="A6" s="101"/>
      <c r="B6" s="101"/>
      <c r="C6" s="101"/>
      <c r="D6" s="101"/>
      <c r="E6" s="101"/>
      <c r="F6" s="101"/>
      <c r="G6" s="101"/>
      <c r="H6" s="101"/>
      <c r="I6" s="101"/>
    </row>
    <row r="7" spans="1:28" x14ac:dyDescent="0.35">
      <c r="A7" s="13"/>
      <c r="B7" s="13"/>
    </row>
    <row r="8" spans="1:28" x14ac:dyDescent="0.35">
      <c r="A8" s="14" t="s">
        <v>85</v>
      </c>
      <c r="B8" s="13">
        <v>1</v>
      </c>
      <c r="AB8" s="17" t="s">
        <v>94</v>
      </c>
    </row>
    <row r="9" spans="1:28" x14ac:dyDescent="0.35">
      <c r="AB9" s="17" t="s">
        <v>95</v>
      </c>
    </row>
    <row r="10" spans="1:28" x14ac:dyDescent="0.35">
      <c r="A10" s="12" t="str">
        <f>IF(B8=2,"დააყოვნეთ NOAC-ზე გადასვლა და გაიმეორეთ INR: ",IF(B8=3,"შესაძლებელია რივაროქსაბანის დაუყოვნებლივ დაწყება",IF(B8=4,"შესაძლებელია ედოქსაბანის დაუყოვნებლივ დაწყება",IF(B8=5,"შესაძლებელია აპიქსაბანის ან დაბიგატრანის დაუყოვნებლივ დაწყება",""))))</f>
        <v/>
      </c>
    </row>
    <row r="11" spans="1:28" x14ac:dyDescent="0.35">
      <c r="B11" s="1" t="str">
        <f>IF(B8=2,"* აცენოკუმაროლის შემთხვევაში, ბოლო დოზის მიღებიდან 8 საათში;","")</f>
        <v/>
      </c>
      <c r="AB11" s="17" t="s">
        <v>97</v>
      </c>
    </row>
    <row r="12" spans="1:28" x14ac:dyDescent="0.35">
      <c r="B12" s="1" t="str">
        <f>IF(B8=2,"* ვარფარინის შემთხვევაში, ბოლო დოზის მიღებიდან 36-48 საათში;","")</f>
        <v/>
      </c>
      <c r="AB12" s="17" t="s">
        <v>98</v>
      </c>
    </row>
    <row r="13" spans="1:28" x14ac:dyDescent="0.35">
      <c r="B13" s="103" t="str">
        <f>IF(B8=2,"* ფენპროკუმონის შემთხვევაში, ბოლო დოზის მიღებიდან 120-200 საათში ანუ 6 დღეში.","")</f>
        <v/>
      </c>
      <c r="C13" s="103"/>
      <c r="D13" s="103"/>
      <c r="E13" s="103"/>
      <c r="F13" s="103"/>
      <c r="G13" s="103"/>
      <c r="H13" s="103"/>
      <c r="I13" s="103"/>
    </row>
    <row r="14" spans="1:28" x14ac:dyDescent="0.35">
      <c r="B14" s="103"/>
      <c r="C14" s="103"/>
      <c r="D14" s="103"/>
      <c r="E14" s="103"/>
      <c r="F14" s="103"/>
      <c r="G14" s="103"/>
      <c r="H14" s="103"/>
      <c r="I14" s="103"/>
      <c r="AB14" s="17" t="s">
        <v>102</v>
      </c>
    </row>
    <row r="15" spans="1:28" x14ac:dyDescent="0.35">
      <c r="AB15" s="17" t="s">
        <v>103</v>
      </c>
    </row>
    <row r="16" spans="1:28" x14ac:dyDescent="0.35">
      <c r="A16" s="101" t="s">
        <v>90</v>
      </c>
      <c r="B16" s="101"/>
      <c r="C16" s="101"/>
      <c r="D16" s="101"/>
      <c r="E16" s="101"/>
      <c r="F16" s="101"/>
      <c r="G16" s="101"/>
      <c r="H16" s="101"/>
      <c r="I16" s="101"/>
    </row>
    <row r="17" spans="1:28" x14ac:dyDescent="0.35">
      <c r="A17" s="101"/>
      <c r="B17" s="101"/>
      <c r="C17" s="101"/>
      <c r="D17" s="101"/>
      <c r="E17" s="101"/>
      <c r="F17" s="101"/>
      <c r="G17" s="101"/>
      <c r="H17" s="101"/>
      <c r="I17" s="101"/>
      <c r="AB17" s="17" t="s">
        <v>106</v>
      </c>
    </row>
    <row r="18" spans="1:28" x14ac:dyDescent="0.35">
      <c r="S18" s="11"/>
      <c r="T18" s="11"/>
      <c r="U18" s="11"/>
      <c r="V18" s="11"/>
      <c r="W18" s="11"/>
      <c r="X18" s="11"/>
      <c r="Y18" s="11"/>
      <c r="Z18" s="11"/>
      <c r="AA18" s="11"/>
      <c r="AB18" s="19" t="s">
        <v>105</v>
      </c>
    </row>
    <row r="19" spans="1:28" ht="15" customHeight="1" x14ac:dyDescent="0.35">
      <c r="A19" s="108" t="s">
        <v>91</v>
      </c>
      <c r="B19" s="108"/>
      <c r="C19" s="108"/>
      <c r="D19" s="108"/>
      <c r="E19" s="108"/>
      <c r="F19" s="108"/>
      <c r="G19" s="108"/>
      <c r="H19" s="108"/>
      <c r="I19" s="108"/>
      <c r="S19" s="11"/>
      <c r="T19" s="11"/>
      <c r="U19" s="11"/>
      <c r="V19" s="11"/>
      <c r="W19" s="11"/>
      <c r="X19" s="11"/>
      <c r="Y19" s="11"/>
      <c r="Z19" s="11"/>
      <c r="AA19" s="11"/>
      <c r="AB19" s="19"/>
    </row>
    <row r="20" spans="1:28" x14ac:dyDescent="0.35">
      <c r="A20" s="108"/>
      <c r="B20" s="108"/>
      <c r="C20" s="108"/>
      <c r="D20" s="108"/>
      <c r="E20" s="108"/>
      <c r="F20" s="108"/>
      <c r="G20" s="108"/>
      <c r="H20" s="108"/>
      <c r="I20" s="108"/>
      <c r="S20" s="11"/>
      <c r="T20" s="11"/>
      <c r="U20" s="11"/>
      <c r="V20" s="11"/>
      <c r="W20" s="11"/>
      <c r="X20" s="11"/>
      <c r="Y20" s="11"/>
      <c r="Z20" s="11"/>
      <c r="AA20" s="11"/>
      <c r="AB20" s="19" t="s">
        <v>110</v>
      </c>
    </row>
    <row r="21" spans="1:28" x14ac:dyDescent="0.35">
      <c r="A21" s="108"/>
      <c r="B21" s="108"/>
      <c r="C21" s="108"/>
      <c r="D21" s="108"/>
      <c r="E21" s="108"/>
      <c r="F21" s="108"/>
      <c r="G21" s="108"/>
      <c r="H21" s="108"/>
      <c r="I21" s="108"/>
      <c r="S21" s="11"/>
      <c r="T21" s="11"/>
      <c r="U21" s="11"/>
      <c r="V21" s="11"/>
      <c r="W21" s="11"/>
      <c r="X21" s="11"/>
      <c r="Y21" s="11"/>
      <c r="Z21" s="11"/>
      <c r="AA21" s="11"/>
      <c r="AB21" s="19" t="s">
        <v>111</v>
      </c>
    </row>
    <row r="22" spans="1:28" x14ac:dyDescent="0.35">
      <c r="S22" s="11"/>
      <c r="T22" s="11"/>
      <c r="U22" s="11"/>
      <c r="V22" s="11"/>
      <c r="W22" s="11"/>
      <c r="X22" s="11"/>
      <c r="Y22" s="11"/>
      <c r="Z22" s="11"/>
      <c r="AA22" s="11"/>
      <c r="AB22" s="19"/>
    </row>
    <row r="23" spans="1:28" x14ac:dyDescent="0.35">
      <c r="A23" s="103" t="s">
        <v>92</v>
      </c>
      <c r="B23" s="103"/>
      <c r="C23" s="103"/>
      <c r="D23" s="103"/>
      <c r="E23" s="103"/>
      <c r="F23" s="103"/>
      <c r="G23" s="103"/>
      <c r="H23" s="103"/>
      <c r="I23" s="103"/>
      <c r="S23" s="11"/>
      <c r="T23" s="11"/>
      <c r="U23" s="11"/>
      <c r="V23" s="11"/>
      <c r="W23" s="11"/>
      <c r="X23" s="11"/>
      <c r="Y23" s="11"/>
      <c r="Z23" s="11"/>
      <c r="AA23" s="11"/>
      <c r="AB23" s="19"/>
    </row>
    <row r="24" spans="1:28" x14ac:dyDescent="0.35">
      <c r="A24" s="103"/>
      <c r="B24" s="103"/>
      <c r="C24" s="103"/>
      <c r="D24" s="103"/>
      <c r="E24" s="103"/>
      <c r="F24" s="103"/>
      <c r="G24" s="103"/>
      <c r="H24" s="103"/>
      <c r="I24" s="103"/>
      <c r="S24" s="11"/>
      <c r="T24" s="11"/>
      <c r="U24" s="11"/>
      <c r="V24" s="11"/>
      <c r="W24" s="11"/>
      <c r="X24" s="11"/>
      <c r="Y24" s="11"/>
      <c r="Z24" s="11"/>
      <c r="AA24" s="11"/>
      <c r="AB24" s="19"/>
    </row>
    <row r="25" spans="1:28" x14ac:dyDescent="0.35">
      <c r="B25" s="13"/>
      <c r="S25" s="11"/>
      <c r="T25" s="11"/>
      <c r="U25" s="11"/>
      <c r="V25" s="11"/>
      <c r="W25" s="11"/>
      <c r="X25" s="11"/>
      <c r="Y25" s="11"/>
      <c r="Z25" s="11"/>
      <c r="AA25" s="11"/>
      <c r="AB25" s="19"/>
    </row>
    <row r="26" spans="1:28" x14ac:dyDescent="0.35">
      <c r="A26" s="1" t="s">
        <v>93</v>
      </c>
      <c r="B26" s="13">
        <v>1</v>
      </c>
      <c r="S26" s="11"/>
      <c r="T26" s="11"/>
      <c r="U26" s="11"/>
      <c r="V26" s="11"/>
      <c r="W26" s="11"/>
      <c r="X26" s="11"/>
      <c r="Y26" s="11"/>
      <c r="Z26" s="11"/>
      <c r="AA26" s="11"/>
      <c r="AB26" s="19"/>
    </row>
    <row r="28" spans="1:28" x14ac:dyDescent="0.35">
      <c r="A28" s="103" t="str">
        <f>IF(B26=2,"გააგრძელეთ NOAC-ისა და VKA-ის კომბინაცია და გაიმოერეთ INR 1-3 დღეში, NOAC-ის მორიგი დოზის მიღების წინ",IF(B26=3,"შეწყვიტეთ NOAC, გააგრძელეთ მხოლოდ VKA და გაიმოერეთ INR-ის ანალიზი NOAC-ის შეწყვეტიდან 1 დღეში",""))</f>
        <v/>
      </c>
      <c r="B28" s="103"/>
      <c r="C28" s="103"/>
      <c r="D28" s="103"/>
      <c r="E28" s="103"/>
      <c r="F28" s="103"/>
      <c r="G28" s="103"/>
      <c r="H28" s="103"/>
      <c r="I28" s="103"/>
    </row>
    <row r="29" spans="1:28" x14ac:dyDescent="0.35">
      <c r="A29" s="103"/>
      <c r="B29" s="103"/>
      <c r="C29" s="103"/>
      <c r="D29" s="103"/>
      <c r="E29" s="103"/>
      <c r="F29" s="103"/>
      <c r="G29" s="103"/>
      <c r="H29" s="103"/>
      <c r="I29" s="103"/>
    </row>
    <row r="31" spans="1:28" ht="15" customHeight="1" x14ac:dyDescent="0.35">
      <c r="A31" s="103" t="str">
        <f>IF(B26=2,"NOAC-ისა და VKA-ის ერთდროული მიღების მიზანშეუწონლობის შემთხვევაში, ჯერ უნდა მოხდეს NOAC-ის გადართვა დაბალმოლეკულურ ჰეპარინზე (LMWH)  და შემდეგ ამ უკანასკნელის, VKA-ზე (იხილეთ ქვემოთ)",IF(B26=3,"NOAC-ისა და VKA-ის ერთდროული მიღების მიზანშეუწონლობის შემთხვევაში, ჯერ უნდა მოხდეს NOAC-ის გადართვა დაბალმოლეკულურ ჰეპარინზე (LMWH)  და შემდეგ ამ უკანასკნელის, VKA-ზე (იხილეთ ქვემოთ)",""))</f>
        <v/>
      </c>
      <c r="B31" s="103"/>
      <c r="C31" s="103"/>
      <c r="D31" s="103"/>
      <c r="E31" s="103"/>
      <c r="F31" s="103"/>
      <c r="G31" s="103"/>
      <c r="H31" s="103"/>
      <c r="I31" s="103"/>
    </row>
    <row r="32" spans="1:28" x14ac:dyDescent="0.35">
      <c r="A32" s="103"/>
      <c r="B32" s="103"/>
      <c r="C32" s="103"/>
      <c r="D32" s="103"/>
      <c r="E32" s="103"/>
      <c r="F32" s="103"/>
      <c r="G32" s="103"/>
      <c r="H32" s="103"/>
      <c r="I32" s="103"/>
    </row>
    <row r="33" spans="1:9" x14ac:dyDescent="0.35">
      <c r="A33" s="103"/>
      <c r="B33" s="103"/>
      <c r="C33" s="103"/>
      <c r="D33" s="103"/>
      <c r="E33" s="103"/>
      <c r="F33" s="103"/>
      <c r="G33" s="103"/>
      <c r="H33" s="103"/>
      <c r="I33" s="103"/>
    </row>
    <row r="35" spans="1:9" x14ac:dyDescent="0.35">
      <c r="A35" s="101" t="s">
        <v>99</v>
      </c>
      <c r="B35" s="101"/>
      <c r="C35" s="101"/>
      <c r="D35" s="101"/>
      <c r="E35" s="101"/>
      <c r="F35" s="101"/>
      <c r="G35" s="101"/>
      <c r="H35" s="101"/>
      <c r="I35" s="101"/>
    </row>
    <row r="36" spans="1:9" x14ac:dyDescent="0.35">
      <c r="A36" s="101"/>
      <c r="B36" s="101"/>
      <c r="C36" s="101"/>
      <c r="D36" s="101"/>
      <c r="E36" s="101"/>
      <c r="F36" s="101"/>
      <c r="G36" s="101"/>
      <c r="H36" s="101"/>
      <c r="I36" s="101"/>
    </row>
    <row r="37" spans="1:9" x14ac:dyDescent="0.35">
      <c r="D37" s="13"/>
      <c r="E37" s="13"/>
    </row>
    <row r="38" spans="1:9" x14ac:dyDescent="0.35">
      <c r="A38" s="1" t="s">
        <v>96</v>
      </c>
      <c r="D38" s="13"/>
      <c r="E38" s="13">
        <v>1</v>
      </c>
    </row>
    <row r="40" spans="1:9" x14ac:dyDescent="0.35">
      <c r="A40" s="103" t="str">
        <f>IF(E38=2,"პარენტერალური ჰეპარინის პირველი დოზა გააკეთეთ NOAC-ის ბოლო აბის მიღებიდან 12 საათში",IF(E38=3,"პარენტერალური ჰეპარინის პირველი დოზა გააკეთეთ NOAC-ის ბოლო აბის მიღებიდან 24 საათში",""))</f>
        <v/>
      </c>
      <c r="B40" s="103"/>
      <c r="C40" s="103"/>
      <c r="D40" s="103"/>
      <c r="E40" s="103"/>
      <c r="F40" s="103"/>
      <c r="G40" s="103"/>
      <c r="H40" s="103"/>
      <c r="I40" s="103"/>
    </row>
    <row r="41" spans="1:9" x14ac:dyDescent="0.35">
      <c r="A41" s="103"/>
      <c r="B41" s="103"/>
      <c r="C41" s="103"/>
      <c r="D41" s="103"/>
      <c r="E41" s="103"/>
      <c r="F41" s="103"/>
      <c r="G41" s="103"/>
      <c r="H41" s="103"/>
      <c r="I41" s="103"/>
    </row>
    <row r="43" spans="1:9" x14ac:dyDescent="0.35">
      <c r="A43" s="101" t="s">
        <v>100</v>
      </c>
      <c r="B43" s="101"/>
      <c r="C43" s="101"/>
      <c r="D43" s="101"/>
      <c r="E43" s="101"/>
      <c r="F43" s="101"/>
      <c r="G43" s="101"/>
      <c r="H43" s="101"/>
      <c r="I43" s="101"/>
    </row>
    <row r="44" spans="1:9" x14ac:dyDescent="0.35">
      <c r="A44" s="101"/>
      <c r="B44" s="101"/>
      <c r="C44" s="101"/>
      <c r="D44" s="101"/>
      <c r="E44" s="101"/>
      <c r="F44" s="101"/>
      <c r="G44" s="101"/>
      <c r="H44" s="101"/>
      <c r="I44" s="101"/>
    </row>
    <row r="45" spans="1:9" x14ac:dyDescent="0.35">
      <c r="D45" s="13"/>
      <c r="E45" s="13"/>
      <c r="F45" s="13"/>
      <c r="G45" s="13"/>
    </row>
    <row r="46" spans="1:9" x14ac:dyDescent="0.35">
      <c r="A46" s="1" t="s">
        <v>101</v>
      </c>
      <c r="D46" s="13"/>
      <c r="E46" s="13">
        <v>1</v>
      </c>
      <c r="F46" s="13"/>
      <c r="G46" s="13"/>
    </row>
    <row r="48" spans="1:9" ht="15" customHeight="1" x14ac:dyDescent="0.35">
      <c r="A48" s="107" t="str">
        <f>IF(E46=2,"NOAC-ის დაწყება შესაძლებელია ინტრავენური არაფრაქცირებული ჰეპარინის შეწყვეტიდან 2-4 საათში",IF(E46=3,"NOAC დაიწყეთ დაბალმოლეკულური ჰეპარინის მომდევნო დოზის ნაცვლად. გაითვალისწინეთ, რომ თირკმლების დაზიანების შემთხვევაში, დაბალმოლეკულური ჰეპარინის ელიმინაცია გახანგრძივებულია",""))</f>
        <v/>
      </c>
      <c r="B48" s="107"/>
      <c r="C48" s="107"/>
      <c r="D48" s="107"/>
      <c r="E48" s="107"/>
      <c r="F48" s="107"/>
      <c r="G48" s="107"/>
      <c r="H48" s="107"/>
      <c r="I48" s="107"/>
    </row>
    <row r="49" spans="1:9" x14ac:dyDescent="0.35">
      <c r="A49" s="107"/>
      <c r="B49" s="107"/>
      <c r="C49" s="107"/>
      <c r="D49" s="107"/>
      <c r="E49" s="107"/>
      <c r="F49" s="107"/>
      <c r="G49" s="107"/>
      <c r="H49" s="107"/>
      <c r="I49" s="107"/>
    </row>
    <row r="50" spans="1:9" x14ac:dyDescent="0.35">
      <c r="A50" s="107"/>
      <c r="B50" s="107"/>
      <c r="C50" s="107"/>
      <c r="D50" s="107"/>
      <c r="E50" s="107"/>
      <c r="F50" s="107"/>
      <c r="G50" s="107"/>
      <c r="H50" s="107"/>
      <c r="I50" s="107"/>
    </row>
    <row r="51" spans="1:9" x14ac:dyDescent="0.35">
      <c r="A51" s="101" t="s">
        <v>104</v>
      </c>
      <c r="B51" s="101"/>
      <c r="C51" s="101"/>
      <c r="D51" s="101"/>
      <c r="E51" s="101"/>
      <c r="F51" s="101"/>
      <c r="G51" s="101"/>
      <c r="H51" s="101"/>
      <c r="I51" s="101"/>
    </row>
    <row r="52" spans="1:9" x14ac:dyDescent="0.35">
      <c r="A52" s="101"/>
      <c r="B52" s="101"/>
      <c r="C52" s="101"/>
      <c r="D52" s="101"/>
      <c r="E52" s="101"/>
      <c r="F52" s="101"/>
      <c r="G52" s="101"/>
      <c r="H52" s="101"/>
      <c r="I52" s="101"/>
    </row>
    <row r="53" spans="1:9" x14ac:dyDescent="0.35">
      <c r="E53" s="13"/>
    </row>
    <row r="54" spans="1:9" x14ac:dyDescent="0.35">
      <c r="A54" s="1" t="s">
        <v>107</v>
      </c>
      <c r="E54" s="13">
        <v>1</v>
      </c>
    </row>
    <row r="56" spans="1:9" x14ac:dyDescent="0.35">
      <c r="A56" s="103" t="str">
        <f>IF(E54=2,"ერთჯერადად მისაღები NOAC დაიწყეთ ინიციალური NOAC-ის მომდევნო დოზის ნაცვლად",IF(E54=3,"ორჯერადად მისაღები NOAC დაიწყეთ ინიციალური NOAC-ის მომდევნო დოზის ნაცვლად",""))</f>
        <v/>
      </c>
      <c r="B56" s="103"/>
      <c r="C56" s="103"/>
      <c r="D56" s="103"/>
      <c r="E56" s="103"/>
      <c r="F56" s="103"/>
      <c r="G56" s="103"/>
      <c r="H56" s="103"/>
      <c r="I56" s="103"/>
    </row>
    <row r="57" spans="1:9" x14ac:dyDescent="0.35">
      <c r="A57" s="103"/>
      <c r="B57" s="103"/>
      <c r="C57" s="103"/>
      <c r="D57" s="103"/>
      <c r="E57" s="103"/>
      <c r="F57" s="103"/>
      <c r="G57" s="103"/>
      <c r="H57" s="103"/>
      <c r="I57" s="103"/>
    </row>
    <row r="59" spans="1:9" x14ac:dyDescent="0.35">
      <c r="A59" s="101" t="s">
        <v>108</v>
      </c>
      <c r="B59" s="101"/>
      <c r="C59" s="101"/>
      <c r="D59" s="101"/>
      <c r="E59" s="101"/>
      <c r="F59" s="101"/>
      <c r="G59" s="101"/>
      <c r="H59" s="101"/>
      <c r="I59" s="101"/>
    </row>
    <row r="60" spans="1:9" x14ac:dyDescent="0.35">
      <c r="A60" s="101"/>
      <c r="B60" s="101"/>
      <c r="C60" s="101"/>
      <c r="D60" s="101"/>
      <c r="E60" s="101"/>
      <c r="F60" s="101"/>
      <c r="G60" s="101"/>
      <c r="H60" s="101"/>
      <c r="I60" s="101"/>
    </row>
    <row r="61" spans="1:9" x14ac:dyDescent="0.35">
      <c r="E61" s="13"/>
    </row>
    <row r="62" spans="1:9" x14ac:dyDescent="0.35">
      <c r="A62" s="1" t="s">
        <v>109</v>
      </c>
      <c r="E62" s="13">
        <v>1</v>
      </c>
    </row>
    <row r="64" spans="1:9" x14ac:dyDescent="0.35">
      <c r="A64" s="103" t="str">
        <f>IF(E62=2,"დაიწყეთ NOAC ასპირინის შეწყვეტისთანავე, თუ არ არის ნაჩვენები კომბინირებული თერაპია",IF(E62=3,"დაიწყეთ NOAC კლოპიდოგრელის შეწყვეტისთანავე, თუ არ არის ნაჩვენები კომბინირებული თერაპია",""))</f>
        <v/>
      </c>
      <c r="B64" s="103"/>
      <c r="C64" s="103"/>
      <c r="D64" s="103"/>
      <c r="E64" s="103"/>
      <c r="F64" s="103"/>
      <c r="G64" s="103"/>
      <c r="H64" s="103"/>
      <c r="I64" s="103"/>
    </row>
    <row r="65" spans="1:9" x14ac:dyDescent="0.35">
      <c r="A65" s="103"/>
      <c r="B65" s="103"/>
      <c r="C65" s="103"/>
      <c r="D65" s="103"/>
      <c r="E65" s="103"/>
      <c r="F65" s="103"/>
      <c r="G65" s="103"/>
      <c r="H65" s="103"/>
      <c r="I65" s="103"/>
    </row>
  </sheetData>
  <sheetProtection algorithmName="SHA-512" hashValue="9izGgug5pXZPCNXAK2d0UqQwQOEtdhLLHZtiDFCJkiRiOU1b3YDKGnFUfFqIvpI0nMi80iO5ZPepWxpfQA87Hg==" saltValue="pSN8n3S0JY9JRIqzwk7tcw==" spinCount="100000" sheet="1" objects="1" scenarios="1"/>
  <mergeCells count="16">
    <mergeCell ref="A51:I52"/>
    <mergeCell ref="A56:I57"/>
    <mergeCell ref="A59:I60"/>
    <mergeCell ref="A64:I65"/>
    <mergeCell ref="A1:I3"/>
    <mergeCell ref="A40:I41"/>
    <mergeCell ref="A43:I44"/>
    <mergeCell ref="A48:I50"/>
    <mergeCell ref="A31:I33"/>
    <mergeCell ref="A35:I36"/>
    <mergeCell ref="A5:I6"/>
    <mergeCell ref="B13:I14"/>
    <mergeCell ref="A16:I17"/>
    <mergeCell ref="A19:I21"/>
    <mergeCell ref="A23:I24"/>
    <mergeCell ref="A28:I29"/>
  </mergeCells>
  <hyperlinks>
    <hyperlink ref="A1:I3" location="Main!A1" display="ანტიკოაგულაციურ რეჟიმებს შორის გადართვა (switching)" xr:uid="{00000000-0004-0000-0600-000000000000}"/>
  </hyperlink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defaultSize="0" autoLine="0" autoPict="0">
                <anchor moveWithCells="1">
                  <from>
                    <xdr:col>0</xdr:col>
                    <xdr:colOff>323850</xdr:colOff>
                    <xdr:row>7</xdr:row>
                    <xdr:rowOff>0</xdr:rowOff>
                  </from>
                  <to>
                    <xdr:col>2</xdr:col>
                    <xdr:colOff>38100</xdr:colOff>
                    <xdr:row>8</xdr:row>
                    <xdr:rowOff>12700</xdr:rowOff>
                  </to>
                </anchor>
              </controlPr>
            </control>
          </mc:Choice>
        </mc:AlternateContent>
        <mc:AlternateContent xmlns:mc="http://schemas.openxmlformats.org/markup-compatibility/2006">
          <mc:Choice Requires="x14">
            <control shapeId="7170" r:id="rId5" name="Drop Down 2">
              <controlPr defaultSize="0" autoLine="0" autoPict="0">
                <anchor moveWithCells="1">
                  <from>
                    <xdr:col>0</xdr:col>
                    <xdr:colOff>546100</xdr:colOff>
                    <xdr:row>25</xdr:row>
                    <xdr:rowOff>0</xdr:rowOff>
                  </from>
                  <to>
                    <xdr:col>2</xdr:col>
                    <xdr:colOff>12700</xdr:colOff>
                    <xdr:row>26</xdr:row>
                    <xdr:rowOff>12700</xdr:rowOff>
                  </to>
                </anchor>
              </controlPr>
            </control>
          </mc:Choice>
        </mc:AlternateContent>
        <mc:AlternateContent xmlns:mc="http://schemas.openxmlformats.org/markup-compatibility/2006">
          <mc:Choice Requires="x14">
            <control shapeId="7171" r:id="rId6" name="Drop Down 3">
              <controlPr defaultSize="0" autoLine="0" autoPict="0">
                <anchor moveWithCells="1">
                  <from>
                    <xdr:col>3</xdr:col>
                    <xdr:colOff>107950</xdr:colOff>
                    <xdr:row>36</xdr:row>
                    <xdr:rowOff>184150</xdr:rowOff>
                  </from>
                  <to>
                    <xdr:col>5</xdr:col>
                    <xdr:colOff>107950</xdr:colOff>
                    <xdr:row>38</xdr:row>
                    <xdr:rowOff>19050</xdr:rowOff>
                  </to>
                </anchor>
              </controlPr>
            </control>
          </mc:Choice>
        </mc:AlternateContent>
        <mc:AlternateContent xmlns:mc="http://schemas.openxmlformats.org/markup-compatibility/2006">
          <mc:Choice Requires="x14">
            <control shapeId="7172" r:id="rId7" name="Drop Down 4">
              <controlPr defaultSize="0" autoLine="0" autoPict="0">
                <anchor moveWithCells="1">
                  <from>
                    <xdr:col>3</xdr:col>
                    <xdr:colOff>450850</xdr:colOff>
                    <xdr:row>45</xdr:row>
                    <xdr:rowOff>0</xdr:rowOff>
                  </from>
                  <to>
                    <xdr:col>6</xdr:col>
                    <xdr:colOff>552450</xdr:colOff>
                    <xdr:row>46</xdr:row>
                    <xdr:rowOff>12700</xdr:rowOff>
                  </to>
                </anchor>
              </controlPr>
            </control>
          </mc:Choice>
        </mc:AlternateContent>
        <mc:AlternateContent xmlns:mc="http://schemas.openxmlformats.org/markup-compatibility/2006">
          <mc:Choice Requires="x14">
            <control shapeId="7173" r:id="rId8" name="Drop Down 5">
              <controlPr defaultSize="0" autoLine="0" autoPict="0">
                <anchor moveWithCells="1">
                  <from>
                    <xdr:col>1</xdr:col>
                    <xdr:colOff>361950</xdr:colOff>
                    <xdr:row>52</xdr:row>
                    <xdr:rowOff>184150</xdr:rowOff>
                  </from>
                  <to>
                    <xdr:col>9</xdr:col>
                    <xdr:colOff>0</xdr:colOff>
                    <xdr:row>54</xdr:row>
                    <xdr:rowOff>12700</xdr:rowOff>
                  </to>
                </anchor>
              </controlPr>
            </control>
          </mc:Choice>
        </mc:AlternateContent>
        <mc:AlternateContent xmlns:mc="http://schemas.openxmlformats.org/markup-compatibility/2006">
          <mc:Choice Requires="x14">
            <control shapeId="7174" r:id="rId9" name="Drop Down 6">
              <controlPr defaultSize="0" autoLine="0" autoPict="0">
                <anchor moveWithCells="1">
                  <from>
                    <xdr:col>1</xdr:col>
                    <xdr:colOff>457200</xdr:colOff>
                    <xdr:row>60</xdr:row>
                    <xdr:rowOff>184150</xdr:rowOff>
                  </from>
                  <to>
                    <xdr:col>5</xdr:col>
                    <xdr:colOff>508000</xdr:colOff>
                    <xdr:row>62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Worksheet____9"/>
  <dimension ref="A1:BC60"/>
  <sheetViews>
    <sheetView workbookViewId="0">
      <selection sqref="A1:I5"/>
    </sheetView>
  </sheetViews>
  <sheetFormatPr defaultColWidth="9.1796875" defaultRowHeight="14.5" x14ac:dyDescent="0.35"/>
  <cols>
    <col min="1" max="18" width="9.1796875" style="16"/>
    <col min="19" max="33" width="9.1796875" style="17"/>
    <col min="34" max="35" width="9.1796875" style="22"/>
    <col min="36" max="16384" width="9.1796875" style="16"/>
  </cols>
  <sheetData>
    <row r="1" spans="1:55" s="1" customFormat="1" ht="15" customHeight="1" x14ac:dyDescent="0.35">
      <c r="A1" s="104" t="s">
        <v>113</v>
      </c>
      <c r="B1" s="104"/>
      <c r="C1" s="104"/>
      <c r="D1" s="104"/>
      <c r="E1" s="104"/>
      <c r="F1" s="104"/>
      <c r="G1" s="104"/>
      <c r="H1" s="104"/>
      <c r="I1" s="104"/>
      <c r="S1" s="17" t="s">
        <v>257</v>
      </c>
      <c r="T1" s="17" t="s">
        <v>176</v>
      </c>
      <c r="U1" s="17" t="s">
        <v>176</v>
      </c>
      <c r="V1" s="17" t="s">
        <v>176</v>
      </c>
      <c r="W1" s="17" t="s">
        <v>176</v>
      </c>
      <c r="X1" s="17"/>
      <c r="Y1" s="17"/>
      <c r="Z1" s="17"/>
      <c r="AA1" s="17"/>
      <c r="AB1" s="17" t="s">
        <v>217</v>
      </c>
      <c r="AC1" s="17" t="s">
        <v>174</v>
      </c>
      <c r="AD1" s="17" t="s">
        <v>174</v>
      </c>
      <c r="AE1" s="17" t="s">
        <v>174</v>
      </c>
      <c r="AF1" s="17" t="s">
        <v>174</v>
      </c>
      <c r="AG1" s="17"/>
      <c r="AH1" s="22"/>
      <c r="AI1" s="22"/>
      <c r="AK1" s="1" t="s">
        <v>182</v>
      </c>
      <c r="AL1" s="1" t="s">
        <v>174</v>
      </c>
      <c r="AM1" s="1" t="s">
        <v>174</v>
      </c>
      <c r="AN1" s="1" t="s">
        <v>174</v>
      </c>
      <c r="AO1" s="1" t="s">
        <v>174</v>
      </c>
    </row>
    <row r="2" spans="1:55" s="1" customFormat="1" ht="15" customHeight="1" x14ac:dyDescent="0.35">
      <c r="A2" s="104"/>
      <c r="B2" s="104"/>
      <c r="C2" s="104"/>
      <c r="D2" s="104"/>
      <c r="E2" s="104"/>
      <c r="F2" s="104"/>
      <c r="G2" s="104"/>
      <c r="H2" s="104"/>
      <c r="I2" s="104"/>
      <c r="S2" s="17" t="s">
        <v>258</v>
      </c>
      <c r="T2" s="17" t="s">
        <v>176</v>
      </c>
      <c r="U2" s="17" t="s">
        <v>176</v>
      </c>
      <c r="V2" s="17" t="s">
        <v>176</v>
      </c>
      <c r="W2" s="17" t="s">
        <v>176</v>
      </c>
      <c r="X2" s="17"/>
      <c r="Y2" s="17"/>
      <c r="Z2" s="17"/>
      <c r="AA2" s="17"/>
      <c r="AB2" s="18" t="s">
        <v>218</v>
      </c>
      <c r="AC2" s="17" t="s">
        <v>174</v>
      </c>
      <c r="AD2" s="17" t="s">
        <v>174</v>
      </c>
      <c r="AE2" s="17" t="s">
        <v>174</v>
      </c>
      <c r="AF2" s="17" t="s">
        <v>174</v>
      </c>
      <c r="AG2" s="17"/>
      <c r="AH2" s="22"/>
      <c r="AI2" s="22"/>
      <c r="AK2" s="1" t="s">
        <v>183</v>
      </c>
      <c r="AL2" s="1" t="s">
        <v>174</v>
      </c>
      <c r="AM2" s="1" t="s">
        <v>174</v>
      </c>
      <c r="AN2" s="1" t="s">
        <v>174</v>
      </c>
      <c r="AO2" s="1" t="s">
        <v>174</v>
      </c>
      <c r="AT2" s="1" t="s">
        <v>12</v>
      </c>
    </row>
    <row r="3" spans="1:55" s="1" customFormat="1" ht="15" customHeight="1" x14ac:dyDescent="0.35">
      <c r="A3" s="104"/>
      <c r="B3" s="104"/>
      <c r="C3" s="104"/>
      <c r="D3" s="104"/>
      <c r="E3" s="104"/>
      <c r="F3" s="104"/>
      <c r="G3" s="104"/>
      <c r="H3" s="104"/>
      <c r="I3" s="104"/>
      <c r="S3" s="17" t="s">
        <v>259</v>
      </c>
      <c r="T3" s="17" t="s">
        <v>176</v>
      </c>
      <c r="U3" s="17" t="s">
        <v>176</v>
      </c>
      <c r="V3" s="17" t="s">
        <v>176</v>
      </c>
      <c r="W3" s="17" t="s">
        <v>176</v>
      </c>
      <c r="X3" s="17"/>
      <c r="Y3" s="17"/>
      <c r="Z3" s="17"/>
      <c r="AA3" s="17"/>
      <c r="AB3" s="17" t="s">
        <v>219</v>
      </c>
      <c r="AC3" s="17" t="s">
        <v>174</v>
      </c>
      <c r="AD3" s="17" t="s">
        <v>174</v>
      </c>
      <c r="AE3" s="17" t="s">
        <v>174</v>
      </c>
      <c r="AF3" s="17" t="s">
        <v>174</v>
      </c>
      <c r="AG3" s="17"/>
      <c r="AH3" s="22"/>
      <c r="AI3" s="22"/>
      <c r="AK3" s="1" t="s">
        <v>184</v>
      </c>
      <c r="AL3" s="1" t="s">
        <v>174</v>
      </c>
      <c r="AM3" s="1" t="s">
        <v>176</v>
      </c>
      <c r="AN3" s="1" t="s">
        <v>174</v>
      </c>
      <c r="AO3" s="1" t="s">
        <v>176</v>
      </c>
      <c r="AT3" s="1" t="s">
        <v>11</v>
      </c>
    </row>
    <row r="4" spans="1:55" ht="15" customHeight="1" x14ac:dyDescent="0.35">
      <c r="A4" s="104"/>
      <c r="B4" s="104"/>
      <c r="C4" s="104"/>
      <c r="D4" s="104"/>
      <c r="E4" s="104"/>
      <c r="F4" s="104"/>
      <c r="G4" s="104"/>
      <c r="H4" s="104"/>
      <c r="I4" s="104"/>
      <c r="S4" s="17" t="s">
        <v>260</v>
      </c>
      <c r="T4" s="17" t="s">
        <v>176</v>
      </c>
      <c r="U4" s="17" t="s">
        <v>176</v>
      </c>
      <c r="V4" s="17" t="s">
        <v>176</v>
      </c>
      <c r="W4" s="17" t="s">
        <v>176</v>
      </c>
      <c r="AB4" s="17" t="s">
        <v>220</v>
      </c>
      <c r="AC4" s="17" t="s">
        <v>174</v>
      </c>
      <c r="AD4" s="17" t="s">
        <v>174</v>
      </c>
      <c r="AE4" s="17" t="s">
        <v>174</v>
      </c>
      <c r="AF4" s="17" t="s">
        <v>174</v>
      </c>
      <c r="AT4" s="16" t="s">
        <v>13</v>
      </c>
    </row>
    <row r="5" spans="1:55" x14ac:dyDescent="0.35">
      <c r="A5" s="104"/>
      <c r="B5" s="104"/>
      <c r="C5" s="104"/>
      <c r="D5" s="104"/>
      <c r="E5" s="104"/>
      <c r="F5" s="104"/>
      <c r="G5" s="104"/>
      <c r="H5" s="104"/>
      <c r="I5" s="104"/>
      <c r="S5" s="17" t="s">
        <v>261</v>
      </c>
      <c r="T5" s="17" t="s">
        <v>176</v>
      </c>
      <c r="U5" s="17" t="s">
        <v>176</v>
      </c>
      <c r="V5" s="17" t="s">
        <v>176</v>
      </c>
      <c r="W5" s="17" t="s">
        <v>176</v>
      </c>
      <c r="AB5" s="17" t="s">
        <v>221</v>
      </c>
      <c r="AC5" s="17" t="s">
        <v>174</v>
      </c>
      <c r="AD5" s="17" t="s">
        <v>174</v>
      </c>
      <c r="AE5" s="17" t="s">
        <v>174</v>
      </c>
      <c r="AF5" s="17" t="s">
        <v>174</v>
      </c>
      <c r="AK5" s="16" t="s">
        <v>185</v>
      </c>
      <c r="AL5" s="16" t="s">
        <v>175</v>
      </c>
      <c r="AM5" s="16" t="s">
        <v>175</v>
      </c>
      <c r="AN5" s="16" t="s">
        <v>175</v>
      </c>
      <c r="AO5" s="16" t="s">
        <v>175</v>
      </c>
      <c r="AT5" s="16" t="s">
        <v>14</v>
      </c>
    </row>
    <row r="6" spans="1:55" x14ac:dyDescent="0.35">
      <c r="C6" s="21"/>
      <c r="S6" s="17" t="s">
        <v>262</v>
      </c>
      <c r="T6" s="17" t="s">
        <v>176</v>
      </c>
      <c r="U6" s="17" t="s">
        <v>176</v>
      </c>
      <c r="V6" s="17" t="s">
        <v>176</v>
      </c>
      <c r="W6" s="17" t="s">
        <v>176</v>
      </c>
      <c r="AB6" s="17" t="s">
        <v>222</v>
      </c>
      <c r="AC6" s="17" t="s">
        <v>174</v>
      </c>
      <c r="AD6" s="17" t="s">
        <v>174</v>
      </c>
      <c r="AE6" s="17" t="s">
        <v>174</v>
      </c>
      <c r="AF6" s="17" t="s">
        <v>174</v>
      </c>
      <c r="AK6" s="16" t="s">
        <v>186</v>
      </c>
      <c r="AL6" s="1" t="s">
        <v>174</v>
      </c>
      <c r="AM6" s="1" t="s">
        <v>176</v>
      </c>
      <c r="AN6" s="1" t="s">
        <v>174</v>
      </c>
      <c r="AO6" s="1" t="s">
        <v>176</v>
      </c>
    </row>
    <row r="7" spans="1:55" x14ac:dyDescent="0.35">
      <c r="A7" s="16" t="s">
        <v>114</v>
      </c>
      <c r="C7" s="21">
        <v>1</v>
      </c>
      <c r="S7" s="17" t="s">
        <v>263</v>
      </c>
      <c r="T7" s="17" t="s">
        <v>176</v>
      </c>
      <c r="U7" s="17" t="s">
        <v>176</v>
      </c>
      <c r="V7" s="17" t="s">
        <v>176</v>
      </c>
      <c r="W7" s="17" t="s">
        <v>176</v>
      </c>
      <c r="AK7" s="16" t="s">
        <v>187</v>
      </c>
      <c r="AL7" s="1" t="s">
        <v>174</v>
      </c>
      <c r="AM7" s="1" t="s">
        <v>174</v>
      </c>
      <c r="AN7" s="1" t="s">
        <v>174</v>
      </c>
      <c r="AO7" s="1" t="s">
        <v>174</v>
      </c>
      <c r="AP7" s="1"/>
      <c r="BC7" s="23" t="s">
        <v>117</v>
      </c>
    </row>
    <row r="8" spans="1:55" x14ac:dyDescent="0.35">
      <c r="S8" s="17" t="s">
        <v>264</v>
      </c>
      <c r="T8" s="17" t="s">
        <v>176</v>
      </c>
      <c r="U8" s="17" t="s">
        <v>176</v>
      </c>
      <c r="V8" s="17" t="s">
        <v>176</v>
      </c>
      <c r="W8" s="17" t="s">
        <v>176</v>
      </c>
      <c r="AB8" s="17" t="s">
        <v>223</v>
      </c>
      <c r="AC8" s="17" t="s">
        <v>215</v>
      </c>
      <c r="AD8" s="17" t="s">
        <v>215</v>
      </c>
      <c r="AE8" s="17" t="s">
        <v>215</v>
      </c>
      <c r="AF8" s="17" t="s">
        <v>215</v>
      </c>
      <c r="AK8" s="16" t="s">
        <v>188</v>
      </c>
      <c r="AL8" s="1" t="s">
        <v>174</v>
      </c>
      <c r="AM8" s="1" t="s">
        <v>174</v>
      </c>
      <c r="AN8" s="1" t="s">
        <v>174</v>
      </c>
      <c r="AO8" s="1" t="s">
        <v>174</v>
      </c>
      <c r="BC8" s="23" t="s">
        <v>125</v>
      </c>
    </row>
    <row r="9" spans="1:55" x14ac:dyDescent="0.35">
      <c r="A9" s="16" t="s">
        <v>115</v>
      </c>
      <c r="E9" s="110" t="str">
        <f>IF(C7=2,"კი",IF(C7=3,"კი",IF(C7=4,"კი",IF(C7=5,"კი",""))))</f>
        <v/>
      </c>
      <c r="F9" s="110"/>
      <c r="S9" s="17" t="s">
        <v>165</v>
      </c>
      <c r="T9" s="17" t="s">
        <v>175</v>
      </c>
      <c r="U9" s="17" t="s">
        <v>175</v>
      </c>
      <c r="V9" s="17" t="s">
        <v>175</v>
      </c>
      <c r="W9" s="17" t="s">
        <v>175</v>
      </c>
      <c r="AB9" s="17" t="s">
        <v>224</v>
      </c>
      <c r="AC9" s="17" t="s">
        <v>215</v>
      </c>
      <c r="AD9" s="17" t="s">
        <v>215</v>
      </c>
      <c r="AE9" s="17" t="s">
        <v>215</v>
      </c>
      <c r="AF9" s="17" t="s">
        <v>215</v>
      </c>
      <c r="AT9" s="16" t="s">
        <v>118</v>
      </c>
      <c r="BC9" s="23" t="s">
        <v>126</v>
      </c>
    </row>
    <row r="10" spans="1:55" x14ac:dyDescent="0.35">
      <c r="E10" s="20"/>
      <c r="S10" s="17" t="s">
        <v>265</v>
      </c>
      <c r="T10" s="17" t="s">
        <v>176</v>
      </c>
      <c r="U10" s="17" t="s">
        <v>176</v>
      </c>
      <c r="V10" s="17" t="s">
        <v>176</v>
      </c>
      <c r="W10" s="17" t="s">
        <v>176</v>
      </c>
      <c r="AB10" s="17" t="s">
        <v>225</v>
      </c>
      <c r="AC10" s="17" t="s">
        <v>174</v>
      </c>
      <c r="AD10" s="17" t="s">
        <v>176</v>
      </c>
      <c r="AE10" s="17" t="s">
        <v>174</v>
      </c>
      <c r="AF10" s="17" t="s">
        <v>176</v>
      </c>
      <c r="AK10" s="16" t="s">
        <v>189</v>
      </c>
      <c r="AL10" s="16" t="s">
        <v>174</v>
      </c>
      <c r="AM10" s="16" t="s">
        <v>176</v>
      </c>
      <c r="AN10" s="16" t="s">
        <v>174</v>
      </c>
      <c r="AO10" s="16" t="s">
        <v>176</v>
      </c>
      <c r="AT10" s="16" t="s">
        <v>119</v>
      </c>
      <c r="BC10" s="23" t="s">
        <v>127</v>
      </c>
    </row>
    <row r="11" spans="1:55" x14ac:dyDescent="0.35">
      <c r="A11" s="16" t="s">
        <v>116</v>
      </c>
      <c r="E11" s="110" t="str">
        <f>IF(C7=2,"არა",IF(C7=3,"კი (25%)",IF(C7=4,"არა (&lt;4%)",IF(C7=5,"კი (18%)",""))))</f>
        <v/>
      </c>
      <c r="F11" s="110"/>
      <c r="AB11" s="17" t="s">
        <v>226</v>
      </c>
      <c r="AC11" s="17" t="s">
        <v>176</v>
      </c>
      <c r="AD11" s="17" t="s">
        <v>176</v>
      </c>
      <c r="AE11" s="17" t="s">
        <v>176</v>
      </c>
      <c r="AF11" s="17" t="s">
        <v>176</v>
      </c>
      <c r="AK11" s="16" t="s">
        <v>190</v>
      </c>
      <c r="AL11" s="16" t="s">
        <v>174</v>
      </c>
      <c r="AM11" s="16" t="s">
        <v>176</v>
      </c>
      <c r="AN11" s="16" t="s">
        <v>174</v>
      </c>
      <c r="AO11" s="16" t="s">
        <v>176</v>
      </c>
      <c r="AT11" s="16" t="s">
        <v>120</v>
      </c>
      <c r="BC11" s="23" t="s">
        <v>128</v>
      </c>
    </row>
    <row r="12" spans="1:55" x14ac:dyDescent="0.35">
      <c r="I12" s="21"/>
      <c r="S12" s="17" t="s">
        <v>266</v>
      </c>
      <c r="T12" s="17" t="s">
        <v>176</v>
      </c>
      <c r="U12" s="17" t="s">
        <v>174</v>
      </c>
      <c r="V12" s="17" t="s">
        <v>176</v>
      </c>
      <c r="W12" s="17" t="s">
        <v>174</v>
      </c>
      <c r="AB12" s="17" t="s">
        <v>227</v>
      </c>
      <c r="AC12" s="17" t="s">
        <v>174</v>
      </c>
      <c r="AD12" s="17" t="s">
        <v>176</v>
      </c>
      <c r="AE12" s="17" t="s">
        <v>174</v>
      </c>
      <c r="AF12" s="17" t="s">
        <v>176</v>
      </c>
      <c r="AK12" s="16" t="s">
        <v>191</v>
      </c>
      <c r="AL12" s="16" t="s">
        <v>174</v>
      </c>
      <c r="AM12" s="16" t="s">
        <v>176</v>
      </c>
      <c r="AN12" s="16" t="s">
        <v>174</v>
      </c>
      <c r="AO12" s="16" t="s">
        <v>176</v>
      </c>
      <c r="AT12" s="16" t="s">
        <v>121</v>
      </c>
      <c r="BC12" s="23" t="s">
        <v>129</v>
      </c>
    </row>
    <row r="13" spans="1:55" x14ac:dyDescent="0.35">
      <c r="A13" s="16" t="s">
        <v>124</v>
      </c>
      <c r="I13" s="21">
        <v>1</v>
      </c>
      <c r="S13" s="17" t="s">
        <v>267</v>
      </c>
      <c r="T13" s="17" t="s">
        <v>176</v>
      </c>
      <c r="U13" s="17" t="s">
        <v>242</v>
      </c>
      <c r="V13" s="17" t="s">
        <v>176</v>
      </c>
      <c r="W13" s="17" t="s">
        <v>280</v>
      </c>
      <c r="AB13" s="17" t="s">
        <v>228</v>
      </c>
      <c r="AC13" s="17" t="s">
        <v>174</v>
      </c>
      <c r="AD13" s="17" t="s">
        <v>174</v>
      </c>
      <c r="AE13" s="17" t="s">
        <v>174</v>
      </c>
      <c r="AF13" s="17" t="s">
        <v>174</v>
      </c>
      <c r="AK13" s="16" t="s">
        <v>192</v>
      </c>
      <c r="AL13" s="16" t="s">
        <v>174</v>
      </c>
      <c r="AM13" s="16" t="s">
        <v>174</v>
      </c>
      <c r="AN13" s="16" t="s">
        <v>174</v>
      </c>
      <c r="AO13" s="16" t="s">
        <v>174</v>
      </c>
      <c r="AT13" s="16" t="s">
        <v>122</v>
      </c>
      <c r="BC13" s="23" t="s">
        <v>130</v>
      </c>
    </row>
    <row r="14" spans="1:55" x14ac:dyDescent="0.35">
      <c r="S14" s="17" t="s">
        <v>268</v>
      </c>
      <c r="T14" s="17" t="s">
        <v>242</v>
      </c>
      <c r="U14" s="17" t="s">
        <v>215</v>
      </c>
      <c r="V14" s="17" t="s">
        <v>242</v>
      </c>
      <c r="W14" s="17" t="s">
        <v>215</v>
      </c>
      <c r="AB14" s="17" t="s">
        <v>229</v>
      </c>
      <c r="AC14" s="17" t="s">
        <v>174</v>
      </c>
      <c r="AD14" s="17" t="s">
        <v>174</v>
      </c>
      <c r="AE14" s="17" t="s">
        <v>174</v>
      </c>
      <c r="AF14" s="17" t="s">
        <v>174</v>
      </c>
      <c r="AK14" s="16" t="s">
        <v>193</v>
      </c>
      <c r="AL14" s="16" t="s">
        <v>174</v>
      </c>
      <c r="AM14" s="16" t="s">
        <v>174</v>
      </c>
      <c r="AN14" s="16" t="s">
        <v>174</v>
      </c>
      <c r="AO14" s="16" t="s">
        <v>174</v>
      </c>
      <c r="AT14" s="16" t="s">
        <v>123</v>
      </c>
      <c r="BC14" s="22" t="s">
        <v>131</v>
      </c>
    </row>
    <row r="15" spans="1:55" x14ac:dyDescent="0.35">
      <c r="S15" s="17" t="s">
        <v>269</v>
      </c>
      <c r="T15" s="17" t="s">
        <v>215</v>
      </c>
      <c r="U15" s="17" t="s">
        <v>215</v>
      </c>
      <c r="V15" s="17" t="s">
        <v>215</v>
      </c>
      <c r="W15" s="17" t="s">
        <v>215</v>
      </c>
      <c r="AB15" s="17" t="s">
        <v>230</v>
      </c>
      <c r="AC15" s="17" t="s">
        <v>174</v>
      </c>
      <c r="AD15" s="17" t="s">
        <v>174</v>
      </c>
      <c r="AE15" s="17" t="s">
        <v>174</v>
      </c>
      <c r="AF15" s="17" t="s">
        <v>174</v>
      </c>
      <c r="AK15" s="16" t="s">
        <v>194</v>
      </c>
      <c r="AL15" s="16" t="s">
        <v>174</v>
      </c>
      <c r="AM15" s="16" t="s">
        <v>174</v>
      </c>
      <c r="AN15" s="16" t="s">
        <v>174</v>
      </c>
      <c r="AO15" s="16" t="s">
        <v>174</v>
      </c>
      <c r="BC15" s="22" t="s">
        <v>132</v>
      </c>
    </row>
    <row r="16" spans="1:55" x14ac:dyDescent="0.35">
      <c r="A16" s="109" t="str">
        <f>IF(I13=2,AT9,IF(I13=3,AT16,IF(I13=4,AT19,IF(I13=5,AT23,IF(I13=6,AT25,IF(I13=7,AT31,IF(I13=8,AT39,IF(I13=9,AT51,IF(I13=10,AT57,IF(I13=11,AK1,IF(I13=12,AK5,IF(I13=13,AK10,IF(I13=14,AK22,IF(I13=15,AK26,IF(I13=16,AK30,IF(I13=17,AB1,""))))))))))))))))</f>
        <v/>
      </c>
      <c r="B16" s="109"/>
      <c r="C16" s="109" t="str">
        <f>IF(AND(I13=2,C7=2),"სიფრთხილით! კონცენტრაციის მატება 12-60%-ით",IF(AND(I13=2,C7=3),"სიფრთხილით! არ არის ფარმაკოკინეტიკური მონაცემები",IF(AND(I13=2,C7=4),"სიფრთხილით! კონცენტრაციის მატება 40%-ით",IF(AND(I13=2,C7=5),"სიფრთხილით! მიუხედავად უმნიშვნელო ეფექტისა",IF(AND(I13=3,C7=2),"ურთიერთქმედება არ არის მოსალოდნელი",IF(AND(I13=3,C7=3),"არ არის მონაცემები",IF(AND(I13=3,C7=4),"ურთიერთქმედება არ არის მოსალოდნელი",IF(AND(I13=3,C7=5),"ურთიერთქმედება არ არის მოსალოდნელი",IF(AND(I13=4,C7=2),"სიფრთხილით!",IF(AND(I13=4,C7=3),"სიფრთხილით!",IF(AND(I13=4,C7=4),"დოზის შემცირება 30 მგ დღეში ერთჯერ",IF(AND(I13=4,C7=5),"სიფრთხილით!",IF(AND(I13=5,C7=2),"უკუნაჩვენებია!",IF(AND(I13=5,C7=3),"უკუნაჩვენებია! კონცენტრაციის მკვეთრი მატება!",IF(AND(I13=5,C7=4),"უკუნაჩვენებია! არ არის მონაცემები",IF(AND(I13=5,C7=5),"უკუნაჩვენებია! მაქსიმალური კონცენტრაცის 53%-იანი მატება",IF(AND(I13=6,C7=2),"არ არის მონაცემები",IF(AND(I13=6,C7=3),"არ არის მონაცემები",IF(AND(I13=6,C7=4),"არ არის მონაცემები",IF(AND(I13=6,C7=5),"სიფრთხილით! სისტემატური მიღებისას კონცენტრაციის 30%-იანი მატება",IF(AND(I13=7,C7=2),"სიფრთხილით!",IF(AND(I13=7,C7=3),"სიფრთხილით!",IF(AND(I13=7,C7=4),"სიფრთხილით!",IF(AND(I13=7,C7=5),"სიფრთხილით!",IF(AND(I13=8,C7=2),"დოზის შემცირება 110 მგ დღეში ორჯერ",IF(AND(I13=8,C7=3),"სიფრთხილით!",IF(AND(I13=8,C7=4),"სიფრთხილით!",IF(AND(I13=8,C7=5),"სიფრთხილით!",IF(AND(I13=9,C7=2),AV51,IF(AND(I13=9,C7=3),AW51,IF(AND(I13=9,C7=4),AX51,IF(AND(I13=9,C7=5),AY51,IF(AND(I13=10,C7=2),AV57,IF(AND(I13=10,C7=3),AW57,IF(AND(I13=10,C7=4),AX57,IF(AND(I13=10,C7=5),AY57,IF(AND(I13=11,C7=2),AL1,IF(AND(I13=11,C7=3),AM1,IF(AND(I13=11,C7=4),AN1,IF(AND(I13=11,C7=5),AO1,IF(AND(I13=12,C7=2),AL5,IF(AND(I13=12,C7=3),AM5,IF(AND(I13=12,C7=4),AN5,IF(AND(I13=12,C7=5),AO5,IF(AND(I13=13,C7=2),AL10,IF(AND(I13=13,C7=3),AM10,IF(AND(I13=13,C7=4),AN10,IF(AND(I13=13,C7=5),AO10,IF(AND(I13=14,C7=2),AL22,IF(AND(I13=14,C7=3),AM22,IF(AND(I13=14,C7=4),AN22,IF(AND(I13=14,C7=5),AO22,IF(AND(I13=15,C7=2),AL26,IF(AND(I13=15,C7=3),AM26,IF(AND(I13=15,C7=4),AN26,IF(AND(I13=15,C7=5),AO26,IF(AND(I13=16,C7=2),AL30,IF(AND(I13=16,C7=3),AM30,IF(AND(I13=16,C7=4),AN30,IF(AND(I13=16,C7=5),AO30,IF(AND(I13=17,C7=2),AC2,IF(AND(I13=17,C7=3),AD2,IF(AND(I13=17,C7=4),AE2,IF(AND(I13=17,C7=5),AF2,""))))))))))))))))))))))))))))))))))))))))))))))))))))))))))))))))</f>
        <v/>
      </c>
      <c r="D16" s="109"/>
      <c r="E16" s="109"/>
      <c r="F16" s="109"/>
      <c r="G16" s="109"/>
      <c r="H16" s="109"/>
      <c r="I16" s="109"/>
      <c r="S16" s="17" t="s">
        <v>270</v>
      </c>
      <c r="T16" s="17" t="s">
        <v>174</v>
      </c>
      <c r="U16" s="17" t="s">
        <v>174</v>
      </c>
      <c r="V16" s="17" t="s">
        <v>174</v>
      </c>
      <c r="W16" s="17" t="s">
        <v>174</v>
      </c>
      <c r="AB16" s="17" t="s">
        <v>231</v>
      </c>
      <c r="AC16" s="17" t="s">
        <v>174</v>
      </c>
      <c r="AD16" s="17" t="s">
        <v>174</v>
      </c>
      <c r="AE16" s="17" t="s">
        <v>174</v>
      </c>
      <c r="AF16" s="17" t="s">
        <v>174</v>
      </c>
      <c r="AK16" s="16" t="s">
        <v>195</v>
      </c>
      <c r="AL16" s="16" t="s">
        <v>174</v>
      </c>
      <c r="AM16" s="16" t="s">
        <v>174</v>
      </c>
      <c r="AN16" s="16" t="s">
        <v>174</v>
      </c>
      <c r="AO16" s="16" t="s">
        <v>174</v>
      </c>
      <c r="AT16" s="16" t="s">
        <v>144</v>
      </c>
      <c r="BC16" s="22" t="s">
        <v>181</v>
      </c>
    </row>
    <row r="17" spans="1:55" x14ac:dyDescent="0.35">
      <c r="A17" s="109" t="str">
        <f>IF(I13=2,AT10,IF(I13=3,AT17,IF(I13=4,AT20,IF(I13=6,AT26,IF(I13=7,AT32,IF(I13=8,AT40,IF(I13=9,AT52,IF(I13=10,AT58,IF(I13=11,AK2,IF(I13=12,AK6,IF(I13=13,AK11,IF(I13=14,AK23,IF(I13=15,AK27,IF(I13=16,AK31,IF(I13=17,AB2,"")))))))))))))))</f>
        <v/>
      </c>
      <c r="B17" s="109"/>
      <c r="C17" s="109" t="str">
        <f>IF(AND(I13=2,C7=2),"ურთიერთქმედება არ არის მოსალოდნელი",IF(AND(I13=2,C7=3),"ურთიერთქმედება არ არის მოსალოდნელი",IF(AND(I13=2,C7=4),"ურთიერთქმედება არ არის მოსალოდნელი",IF(AND(I13=2,C7=5),"ურთიერთქმედება არ არის მოსალოდნელი",IF(AND(I13=3,C7=2),"სიფრთხილით! დატვირთვის დოზა დაბიგატრანიდან 2 სთ-ში",IF(AND(I13=3,C7=3),"სიფრთხილით! არ არის მონაცემები",IF(AND(I13=3,C7=4),"სიფრთხილით! არ არის მონაცემები",IF(AND(I13=3,C7=5),"სიფრთხილით! არ არის მონაცემები",IF(AND(I13=4,C7=2),"სიფრთხილით!",IF(AND(I13=4,C7=3),"სიფრთხილით!",IF(AND(I13=4,C7=4),"დოზის შემცირება 30 მგ დრეში ერთჯერ",IF(AND(I13=4,C7=5),"სიფრთხილით!",IF(AND(I13=6,C7=2),"უკუნაჩვენებია!",IF(AND(I13=6,C7=3),"უკუნაჩვენებია!",IF(AND(I13=6,C7=4),"დოზის შემცირება 30 მგ დღეში ერთჯერ",IF(AND(I13=6,C7=5),"უკუნაჩვენებია!",IF(AND(I13=7,C7=2),"ურთიერთქმედება არ არის მოსალოდნელი",IF(AND(I13=7,C7=3),"ურთიერთქმედება არ არის მოსალოდნელი",IF(AND(I13=7,C7=4),"ურთიერთქმედება არ არის მოსალოდნელი",IF(AND(I13=7,C7=5),"ურთიერთქმედება არ არის მოსალოდნელი",IF(AND(I13=8,C7=2),"სიფრთხილით!",IF(AND(I13=8,C7=3),"სიფრთხილით!",IF(AND(I13=8,C7=4),"სიფრთხილით!",IF(AND(I13=8,C7=5),"სიფრთხილით!",IF(AND(I13=9,C7=2),AV52,IF(AND(I13=9,C7=3),AW52,IF(AND(I13=9,C7=4),AX52,IF(AND(I13=9,C7=5),AY52,IF(AND(I13=10,C7=2),AV58,IF(AND(I13=10,C7=3),AW58,IF(AND(I13=10,C7=4),AX58,IF(AND(I13=10,C7=5),AY58,IF(AND(I13=11,C7=2),AL2,IF(AND(I13=11,C7=3),AM2,IF(AND(I13=11,C7=4),AN2,IF(AND(I13=11,C7=5),AO2,IF(AND(I13=12,C7=2),AL6,IF(AND(I13=12,C7=3),AM6,IF(AND(I13=12,C7=4),AN6,IF(AND(I13=12,C7=5),AO6,IF(AND(I13=13,C7=2),AL11,IF(AND(I13=13,C7=3),AM11,IF(AND(I13=13,C7=4),AN11,IF(AND(I13=13,C7=5),AO11,IF(AND(I13=14,C7=2),AL23,IF(AND(I13=14,C7=3),AM23,IF(AND(I13=14,C7=4),AN23,IF(AND(I13=14,C7=5),AO23,IF(AND(I13=15,C7=2),AL27,IF(AND(I13=15,C7=3),AM27,IF(AND(I13=15,C7=4),AN27,IF(AND(I13=15,C7=5),AO27,IF(AND(I13=16,C7=2),AL31,IF(AND(I13=16,C7=3),AM31,IF(AND(I13=16,C7=4),AN31,IF(AND(I13=16,C7=5),AO31,IF(AND(I13=17,C7=2),AC2,IF(AND(I13=17,C7=3),AD2,IF(AND(I13=17,C7=4),AE2,IF(AND(I13=17,C7=5),AF2,""))))))))))))))))))))))))))))))))))))))))))))))))))))))))))))</f>
        <v/>
      </c>
      <c r="D17" s="109"/>
      <c r="E17" s="109"/>
      <c r="F17" s="109"/>
      <c r="G17" s="109"/>
      <c r="H17" s="109"/>
      <c r="I17" s="109"/>
      <c r="S17" s="17" t="s">
        <v>271</v>
      </c>
      <c r="T17" s="17" t="s">
        <v>174</v>
      </c>
      <c r="U17" s="17" t="s">
        <v>174</v>
      </c>
      <c r="V17" s="17" t="s">
        <v>174</v>
      </c>
      <c r="W17" s="17" t="s">
        <v>174</v>
      </c>
      <c r="AB17" s="17" t="s">
        <v>232</v>
      </c>
      <c r="AC17" s="17" t="s">
        <v>174</v>
      </c>
      <c r="AD17" s="17" t="s">
        <v>174</v>
      </c>
      <c r="AE17" s="17" t="s">
        <v>174</v>
      </c>
      <c r="AF17" s="17" t="s">
        <v>174</v>
      </c>
      <c r="AK17" s="16" t="s">
        <v>196</v>
      </c>
      <c r="AL17" s="16" t="s">
        <v>174</v>
      </c>
      <c r="AM17" s="16" t="s">
        <v>174</v>
      </c>
      <c r="AN17" s="16" t="s">
        <v>174</v>
      </c>
      <c r="AO17" s="16" t="s">
        <v>174</v>
      </c>
      <c r="AT17" s="16" t="s">
        <v>145</v>
      </c>
      <c r="BC17" s="22" t="s">
        <v>135</v>
      </c>
    </row>
    <row r="18" spans="1:55" x14ac:dyDescent="0.35">
      <c r="A18" s="109" t="str">
        <f>IF(I13=2,AT11,IF(I13=4,AT21,IF(I13=6,AT27,IF(I13=7,AT33,IF(I13=8,AT41,IF(I13=9,AT53,IF(I13=10,AT59,IF(I13=11,AK3,IF(I13=12,AK7,IF(I13=13,AK12,IF(I13=14,AK24,IF(I13=15,AK28,IF(I13=16,AK32,IF(I13=17,AB3,IF(I13=18,AB8,IF(I13=19,AB20,""))))))))))))))))</f>
        <v/>
      </c>
      <c r="B18" s="109"/>
      <c r="C18" s="109" t="str">
        <f>IF(AND(I13=2,C7=2),"ურთიერთქმედება არ არის მოსალოდნელი",IF(AND(I13=2,C7=3),"ურთიერთქმედება არ არის მოსალოდნელი",IF(AND(I13=2,C7=4),"არ არის მონაცემები",IF(AND(I13=2,C7=5),"ურთიერთქმედება არ არის მოსალოდნელი",IF(AND(I13=4,C7=2),"უკუჩვენება! პლაზმაში მაქსიმალური კონცენტრაციის 67%-იანი დაქვეითება",IF(AND(I13=4,C7=3),"უკუჩვენება! პლაზმაში მაქსიმალური კონცენტრაციის 42%-იანი დაქვეითება",IF(AND(I13=4,C7=4),"სიფრთხილე!",IF(AND(I13=4,C7=5),"უკუჩვენება! პლაზმაში მაქსიმალური კონცენტრაციის 22%-იანი დაქვეითება",IF(AND(I13=6,C7=2),"უკუნაჩვენებია!",IF(AND(I13=6,C7=3),"უკუნაჩვენებია!",IF(AND(I13=6,C7=4),"დოზის შემცირება 30 მგ დღეში ერთჯერ",IF(AND(I13=6,C7=5),"უკუნაჩვენებია!",IF(AND(I13=7,C7=2),"ურთიერთქმედება არ არის მოსალოდნელი",IF(AND(I13=7,C7=3),"ურთიერთქმედება არ არის მოსალოდნელი",IF(AND(I13=7,C7=4),"ურთიერთქმედება არ არის მოსალოდნელი",IF(AND(I13=7,C7=5),"ურთიერთქმედება არ არის მოსალოდნელი",IF(AND(I13=8,C7=2),"სიფრთხილით!",IF(AND(I13=8,C7=3),"სიფრთხილით!",IF(AND(I13=8,C7=4),"დოზის შემცირება 30 მგ დღეში ერთჯერ",IF(AND(I13=8,C7=5),"სიფრთხილით!",IF(AND(I13=9,C7=2),AV53,IF(AND(I13=9,C7=3),AW53,IF(AND(I13=9,C7=4),AX53,IF(AND(I13=9,C7=5),AY53,IF(AND(I13=10,C7=2),AV59,IF(AND(I13=10,C7=3),AW59,IF(AND(I13=10,C7=4),AX59,IF(AND(I13=10,C7=5),AY59,IF(AND(I13=11,C7=2),AL3,IF(AND(I13=11,C7=3),AM3,IF(AND(I13=11,C7=4),AN3,IF(AND(I13=11,C7=5),AO3,IF(AND(I13=12,C7=2),AL7,IF(AND(I13=12,C7=3),AM7,IF(AND(I13=12,C7=4),AN7,IF(AND(I13=12,C7=5),AO7,IF(AND(I13=13,C7=2),AL12,IF(AND(I13=13,C7=3),AM12,IF(AND(I13=13,C7=4),AN12,IF(AND(I13=13,C7=5),AO12,IF(AND(I13=14,C7=2),AL24,IF(AND(I13=14,C7=3),AM24,IF(AND(I13=14,C7=4),AN24,IF(AND(I13=14,C7=5),AO24,IF(AND(I13=15,C7=2),AL28,IF(AND(I13=15,C7=3),AM28,IF(AND(I13=15,C7=4),AN28,IF(AND(I13=15,C7=5),AO28,IF(AND(I13=16,C7=2),AL32,IF(AND(I13=16,C7=3),AM32,IF(AND(I13=16,C7=4),AN32,IF(AND(I13=16,C7=5),AO32,IF(AND(I13=17,C7=2),AC3,IF(AND(I13=17,C7=3),AD3,IF(AND(I13=17,C7=4),AE3,IF(AND(I13=17,C7=5),AF3,IF(AND(I13=18,C7=2),AC8,IF(AND(I13=18,C7=3),AD8,IF(AND(I13=18,C7=4),AE8,IF(AND(I13=18,C7=5),AF8,IF(AND(I13=19,C7=2),AC20,IF(AND(I13=19,C7=3),AD20,IF(AND(I13=19,C7=4),AE20,IF(AND(I13=19,C7=5),AF20,""))))))))))))))))))))))))))))))))))))))))))))))))))))))))))))))))</f>
        <v/>
      </c>
      <c r="D18" s="109"/>
      <c r="E18" s="109"/>
      <c r="F18" s="109"/>
      <c r="G18" s="109"/>
      <c r="H18" s="109"/>
      <c r="I18" s="109"/>
      <c r="S18" s="17" t="s">
        <v>272</v>
      </c>
      <c r="T18" s="17" t="s">
        <v>174</v>
      </c>
      <c r="U18" s="17" t="s">
        <v>174</v>
      </c>
      <c r="V18" s="17" t="s">
        <v>174</v>
      </c>
      <c r="W18" s="17" t="s">
        <v>174</v>
      </c>
      <c r="AB18" s="17" t="s">
        <v>233</v>
      </c>
      <c r="AC18" s="17" t="s">
        <v>174</v>
      </c>
      <c r="AD18" s="17" t="s">
        <v>174</v>
      </c>
      <c r="AE18" s="17" t="s">
        <v>174</v>
      </c>
      <c r="AF18" s="17" t="s">
        <v>174</v>
      </c>
      <c r="AK18" s="16" t="s">
        <v>197</v>
      </c>
      <c r="AL18" s="16" t="s">
        <v>174</v>
      </c>
      <c r="AM18" s="16" t="s">
        <v>174</v>
      </c>
      <c r="AN18" s="16" t="s">
        <v>174</v>
      </c>
      <c r="AO18" s="16" t="s">
        <v>174</v>
      </c>
      <c r="BC18" s="22" t="s">
        <v>134</v>
      </c>
    </row>
    <row r="19" spans="1:55" x14ac:dyDescent="0.35">
      <c r="A19" s="109" t="str">
        <f>IF(I13=2,AT12,IF(I13=6,AT28,IF(I13=7,AT34,IF(I13=8,AT42,IF(I13=9,AT54,IF(I13=10,AT60,IF(I13=12,AK8,IF(I13=13,AK13,IF(I13=16,AK33,IF(I13=17,AB4,IF(I13=18,AB9,IF(I13=19,AB21,IF(I13=20,AB28,IF(I13=21,S1,IF(I13=22,S12,"")))))))))))))))</f>
        <v/>
      </c>
      <c r="B19" s="109"/>
      <c r="C19" s="109" t="str">
        <f>IF(AND(I13=2,C7=2),"უკუნაჩვენებია კონცენტრაციის 70-100%-იანი მატების გამო",IF(AND(I13=2,C7=3),"სიფრთხილით!",IF(AND(I13=2,C7=4),"რეკომენდებულია დოზის შემცირება 30 მგ/დღ ერთჯერ",IF(AND(I13=2,C7=5),"უკუნაჩვენებია ზომიერი ურთიერთქმედების მიუხედავად",IF(AND(I13=6,C7=2),"არ არის მონაცემები",IF(AND(I13=6,C7=3),"უკუნაჩვენებია!",IF(AND(I13=6,C7=4),"არ არის მონაცემები",IF(AND(I13=6,C7=5),"უკუნაჩვენებია!",IF(AND(I13=7,C7=2),"ურთიერთქმედება არ არის მოსალოდნელი",IF(AND(I13=7,C7=3),"ურთიერთქმედება არ არის მოსალოდნელი",IF(AND(I13=7,C7=4),"ურთიერთქმედება არ არის მოსალოდნელი",IF(AND(I13=7,C7=5),"ურთიერთქმედება არ არის მოსალოდნელი",IF(AND(I13=8,C7=2),"სიფრთხილე!",IF(AND(I13=8,C7=3),"სიფრთხილე!",IF(AND(I13=8,C7=4),"სიფრთხილე!",IF(AND(I13=8,C7=5),"სიფრთხილე!",IF(AND(I13=9,C7=2),AV54,IF(AND(I13=9,C7=3),AW54,IF(AND(I13=9,C7=4),AX54,IF(AND(I13=9,C7=5),AY54,IF(AND(I13=10,C7=2),AV60,IF(AND(I13=10,C7=3),AW60,IF(AND(I13=10,C7=4),AX60,IF(AND(I13=10,C7=5),AY60,IF(AND(I13=12,C7=2),AL8,IF(AND(I13=12,C7=3),AM8,IF(AND(I13=12,C7=4),AN8,IF(AND(I13=12,C7=5),AO8,IF(AND(I13=13,C7=2),AL13,IF(AND(I13=13,C7=3),AM13,IF(AND(I13=13,C7=4),AN13,IF(AND(I13=13,C7=5),AO13,IF(AND(I13=16,C7=2),AL33,IF(AND(I13=16,C7=3),AM33,IF(AND(I13=16,C7=4),AN33,IF(AND(I13=16,C7=5),AO33,IF(AND(I13=17,C7=2),AC4,IF(AND(I13=17,C7=3),AD4,IF(AND(I13=17,C7=4),AE4,IF(AND(I13=17,C7=5),AF4,IF(AND(I13=18,C7=2),AC9,IF(AND(I13=18,C7=3),AD9,IF(AND(I13=18,C7=4),AE9,IF(AND(I13=18,C7=5),AF9,IF(AND(I13=19,C7=2),AC21,IF(AND(I13=19,C7=3),AD21,IF(AND(I13=19,C7=4),AE21,IF(AND(I13=19,C7=5),AF21,IF(AND(I13=20,C7=2),AC28,IF(AND(I13=20,C7=3),AD28,IF(AND(I13=20,C7=4),AE28,IF(AND(I13=20,C7=5),AF28,IF(AND(I13=21,C7=2),T1,IF(AND(I13=21,C7=3),U1,IF(AND(I13=21,C7=4),V1,IF(AND(I13=21,C7=5),W1,IF(AND(I13=22,C7=2),T12,IF(AND(I13=22,C7=3),U12,IF(AND(I13=22,C7=4),V12,IF(AND(I13=22,C7=5),W12,""))))))))))))))))))))))))))))))))))))))))))))))))))))))))))))</f>
        <v/>
      </c>
      <c r="D19" s="109"/>
      <c r="E19" s="109"/>
      <c r="F19" s="109"/>
      <c r="G19" s="109"/>
      <c r="H19" s="109"/>
      <c r="I19" s="109"/>
      <c r="S19" s="17" t="s">
        <v>222</v>
      </c>
      <c r="T19" s="17" t="s">
        <v>174</v>
      </c>
      <c r="U19" s="17" t="s">
        <v>174</v>
      </c>
      <c r="V19" s="17" t="s">
        <v>174</v>
      </c>
      <c r="W19" s="17" t="s">
        <v>174</v>
      </c>
      <c r="AK19" s="16" t="s">
        <v>198</v>
      </c>
      <c r="AL19" s="16" t="s">
        <v>174</v>
      </c>
      <c r="AM19" s="16" t="s">
        <v>174</v>
      </c>
      <c r="AN19" s="16" t="s">
        <v>174</v>
      </c>
      <c r="AO19" s="16" t="s">
        <v>174</v>
      </c>
      <c r="AT19" s="16" t="s">
        <v>146</v>
      </c>
      <c r="BC19" s="22" t="s">
        <v>133</v>
      </c>
    </row>
    <row r="20" spans="1:55" x14ac:dyDescent="0.35">
      <c r="A20" s="109" t="str">
        <f>IF(I13=2,AT13,IF(I13=6,AT29,IF(I13=7,AT35,IF(I13=8,AT43,IF(I13=9,AT55,IF(I13=13,AK14,IF(I13=16,AK34,IF(I13=17,AB5,IF(I13=18,AB10,IF(I13=19,AB22,IF(I13=20,AB29,IF(I13=21,S2,IF(I13=22,S13,"")))))))))))))</f>
        <v/>
      </c>
      <c r="B20" s="109"/>
      <c r="C20" s="109" t="str">
        <f>IF(AND(I13=2,C7=2),"სიფრთხილით! კონცენტრაციის 53%-იანი მატება",IF(AND(I13=2,C7=3),"არ არის მონაცემები",IF(AND(I13=2,C7=4),"სიფრთხილით! კონცენტრაციის 77%-იანი მატება",IF(AND(I13=2,C7=5),"სიფრთხილით!",IF(AND(I13=6,C7=2),"სიფრთხილით!",IF(AND(I13=6,C7=3),"უკუნაჩვენებია!",IF(AND(I13=6,C7=4),"სიფრთხილით!",IF(AND(I13=6,C7=5),"უკუნაჩვენებია!",IF(AND(I13=7,C7=2),"სიფრთხილით!",IF(AND(I13=7,C7=3),"სიფრთხილით!",IF(AND(I13=7,C7=4),"სიფრთხილით!",IF(AND(I13=7,C7=5),"სიფრთხილით!",IF(AND(I13=8,C7=2),"სიფრთხილით!",IF(AND(I13=8,C7=3),"სიფრთხილით!",IF(AND(I13=8,C7=4),"სიფრთხილით!",IF(AND(I13=8,C7=5),"სიფრთხილით!",IF(AND(I13=9,C7=2),AV55,IF(AND(I13=9,C7=3),AW55,IF(AND(I13=9,C7=4),AX55,IF(AND(I13=9,C7=5),AY55,IF(AND(I13=13,C7=2),AL14,IF(AND(I13=13,C7=3),AM14,IF(AND(I13=13,C7=4),AN14,IF(AND(I13=13,C7=5),AO14,IF(AND(I13=16,C7=2),AL34,IF(AND(I13=16,C7=3),AM34,IF(AND(I13=16,C7=4),AN34,IF(AND(I13=16,C7=5),AO34,IF(AND(I13=17,C7=2),AC5,IF(AND(I13=17,C7=3),AD5,IF(AND(I13=17,C7=4),AE5,IF(AND(I13=17,C7=5),AF5,IF(AND(I13=18,C7=2),AC10,IF(AND(I13=18,C7=3),AD10,IF(AND(I13=18,C7=4),AE10,IF(AND(I13=18,C7=5),AF10,IF(AND(I13=19,C7=2),AC22,IF(AND(I13=19,C7=3),AD22,IF(AND(I13=19,C7=4),AE22,IF(AND(I13=19,C7=5),AF22,IF(AND(I13=20,C7=2),AC29,IF(AND(I13=20,C7=3),AD29,IF(AND(I13=20,C7=4),AE29,IF(AND(I13=20,C7=5),AF29,IF(AND(I13=21,C7=2),T2,IF(AND(I13=21,C7=3),U2,IF(AND(I13=21,C7=4),V2,IF(AND(I13=21,C7=5),W2,IF(AND(I13=22,C7=2),T13,IF(AND(I13=22,C7=3),U13,IF(AND(I13=22,C7=4),V13,IF(AND(I13=22,C7=5),W13,""))))))))))))))))))))))))))))))))))))))))))))))))))))</f>
        <v/>
      </c>
      <c r="D20" s="109"/>
      <c r="E20" s="109"/>
      <c r="F20" s="109"/>
      <c r="G20" s="109"/>
      <c r="H20" s="109"/>
      <c r="I20" s="109"/>
      <c r="S20" s="17" t="s">
        <v>273</v>
      </c>
      <c r="T20" s="17" t="s">
        <v>174</v>
      </c>
      <c r="U20" s="17" t="s">
        <v>174</v>
      </c>
      <c r="V20" s="17" t="s">
        <v>174</v>
      </c>
      <c r="W20" s="17" t="s">
        <v>174</v>
      </c>
      <c r="AB20" s="17" t="s">
        <v>234</v>
      </c>
      <c r="AC20" s="17" t="s">
        <v>215</v>
      </c>
      <c r="AD20" s="17" t="s">
        <v>176</v>
      </c>
      <c r="AE20" s="17" t="s">
        <v>241</v>
      </c>
      <c r="AF20" s="17" t="s">
        <v>176</v>
      </c>
      <c r="AH20" s="16"/>
      <c r="AK20" s="16" t="s">
        <v>199</v>
      </c>
      <c r="AL20" s="16" t="s">
        <v>174</v>
      </c>
      <c r="AM20" s="16" t="s">
        <v>174</v>
      </c>
      <c r="AN20" s="16" t="s">
        <v>174</v>
      </c>
      <c r="AO20" s="16" t="s">
        <v>174</v>
      </c>
      <c r="AT20" s="16" t="s">
        <v>147</v>
      </c>
      <c r="BC20" s="22" t="s">
        <v>136</v>
      </c>
    </row>
    <row r="21" spans="1:55" x14ac:dyDescent="0.35">
      <c r="A21" s="109" t="str">
        <f>IF(I13=2,AT14,IF(I13=7,AT36,IF(I13=8,AT44,IF(I13=13,AK15,IF(I13=16,AK35,IF(I13=17,AB6,IF(I13=18,AB11,IF(I13=19,AB23,IF(I13=20,AB30,IF(I13=21,S3,IF(I13=22,S14,"")))))))))))</f>
        <v/>
      </c>
      <c r="B21" s="109"/>
      <c r="C21" s="109" t="str">
        <f>IF(AND(I13=2,C7=2),"რეკომენდებულია დოზის შემცირება 110 მგ დღეში ორჯერ",IF(AND(I13=2,C7=3),"არ არის მონაცემები",IF(AND(I13=2,C7=4),"სიფრთხილით! კონცენტრაციის 53%-იანი მატება",IF(AND(I13=2,C7=5),"სიფრთხილით! კონცენტრაციის 40%-იანი მატება",IF(AND(I13=7,C7=2),"სიფრთხილით!",IF(AND(I13=7,C7=3),"სიფრთხილით!",IF(AND(I13=7,C7=4),"სიფრთხილით!",IF(AND(I13=7,C7=5),"სიფრთხილით!",IF(AND(I13=8,C7=2),"სიფრთხილით!",IF(AND(I13=8,C7=3),"სიფრთხილით!",IF(AND(I13=8,C7=4),"სიფრთხილით!",IF(AND(I13=8,C7=5),"სიფრთხილით!",IF(AND(I13=13,C7=2),AL15,IF(AND(I13=13,C7=3),AM15,IF(AND(I13=13,C7=4),AN15,IF(AND(I13=13,C7=5),AO15,IF(AND(I13=16,C7=2),AL35,IF(AND(I13=16,C7=3),AM35,IF(AND(I13=16,C7=4),AN35,IF(AND(I13=16,C7=5),AO35,IF(AND(I13=17,C7=2),AC6,IF(AND(I13=17,C7=3),AD6,IF(AND(I13=17,C7=4),AE6,IF(AND(I13=17,C7=5),AF6,IF(AND(I13=18,C7=2),AC11,IF(AND(I13=18,C7=3),AD11,IF(AND(I13=18,C7=4),AE11,IF(AND(I13=18,C7=5),AF11,IF(AND(I13=19,C7=2),AC23,IF(AND(I13=19,C7=3),AD23,IF(AND(I13=19,C7=4),AE23,IF(AND(I13=19,C7=5),AF23,IF(AND(I13=20,C7=2),AC30,IF(AND(I13=20,C7=3),AD30,IF(AND(I13=20,C7=4),AE30,IF(AND(I13=20,C7=5),AF30,IF(AND(I13=21,C7=2),T3,IF(AND(I13=21,C7=3),U3,IF(AND(I13=21,C7=4),V3,IF(AND(I13=21,C7=5),W3,IF(AND(I13=22,C7=2),T14,IF(AND(I13=22,C7=3),U14,IF(AND(I13=22,C7=4),V14,IF(AND(I13=22,C7=5),W14,""))))))))))))))))))))))))))))))))))))))))))))</f>
        <v/>
      </c>
      <c r="D21" s="109"/>
      <c r="E21" s="109"/>
      <c r="F21" s="109"/>
      <c r="G21" s="109"/>
      <c r="H21" s="109"/>
      <c r="I21" s="109"/>
      <c r="S21" s="17" t="s">
        <v>274</v>
      </c>
      <c r="T21" s="17" t="s">
        <v>174</v>
      </c>
      <c r="U21" s="17" t="s">
        <v>174</v>
      </c>
      <c r="V21" s="17" t="s">
        <v>174</v>
      </c>
      <c r="W21" s="17" t="s">
        <v>174</v>
      </c>
      <c r="AB21" s="17" t="s">
        <v>235</v>
      </c>
      <c r="AC21" s="17" t="s">
        <v>174</v>
      </c>
      <c r="AD21" s="17" t="s">
        <v>176</v>
      </c>
      <c r="AE21" s="17" t="s">
        <v>174</v>
      </c>
      <c r="AF21" s="17" t="s">
        <v>176</v>
      </c>
      <c r="AH21" s="16"/>
      <c r="AT21" s="16" t="s">
        <v>148</v>
      </c>
      <c r="BC21" s="22" t="s">
        <v>137</v>
      </c>
    </row>
    <row r="22" spans="1:55" x14ac:dyDescent="0.35">
      <c r="A22" s="109" t="str">
        <f>IF(I13=7,AT37,IF(I13=13,AK16,IF(I13=16,AK36,IF(I13=18,AB12,IF(I13=19,AB24,IF(I13=20,AB31,IF(I13=21,S4,IF(I13=22,S15,""))))))))</f>
        <v/>
      </c>
      <c r="B22" s="109"/>
      <c r="C22" s="109" t="str">
        <f>IF(AND(I13=7,C7=2),"უკუჩვენება! კონცენტრაციის დაქვეითება",IF(AND(I13=7,C7=3),"უკუჩვენება! კონცენტრაციის დაქვეითება",IF(AND(I13=7,C7=4),"უკუჩვენება! კონცენტრაციის დაქვეითება",IF(AND(I13=7,C7=5),"უკუჩვენება! კონცენტრაციის დაქვეითება",IF(AND(I13=13,C7=2),AL16,IF(AND(I13=13,C7=3),AM16,IF(AND(I13=13,C7=4),AN16,IF(AND(I13=13,C7=5),AO16,IF(AND(I13=16,C7=2),AL36,IF(AND(I13=16,C7=3),AM36,IF(AND(I13=16,C7=4),AN36,IF(AND(I13=16,C7=5),AO36,IF(AND(I13=18,C7=2),AC12,IF(AND(I13=18,C7=3),AD12,IF(AND(I13=18,C7=4),AE12,IF(AND(I13=18,C7=5),AF12,IF(AND(I13=19,C7=2),AC24,IF(AND(I13=19,C7=3),AD24,IF(AND(I13=19,C7=4),AE24,IF(AND(I13=19,C7=5),AF24,IF(AND(I13=20,C7=2),AC31,IF(AND(I13=20,C7=3),AD31,IF(AND(I13=20,C7=4),AE31,IF(AND(I13=20,C7=5),AF31,IF(AND(I13=21,C7=2),T4,IF(AND(I13=21,C7=3),U4,IF(AND(I13=21,C7=4),V4,IF(AND(I13=21,C7=5),W4,IF(AND(I13=22,C7=2),T15,IF(AND(I13=22,C7=3),U15,IF(AND(I13=22,C7=4),V15,IF(AND(I13=22,C7=5),W15,""))))))))))))))))))))))))))))))))</f>
        <v/>
      </c>
      <c r="D22" s="109"/>
      <c r="E22" s="109"/>
      <c r="F22" s="109"/>
      <c r="G22" s="109"/>
      <c r="H22" s="109"/>
      <c r="I22" s="109"/>
      <c r="S22" s="17" t="s">
        <v>275</v>
      </c>
      <c r="T22" s="17" t="s">
        <v>174</v>
      </c>
      <c r="U22" s="17" t="s">
        <v>174</v>
      </c>
      <c r="V22" s="17" t="s">
        <v>174</v>
      </c>
      <c r="W22" s="17" t="s">
        <v>174</v>
      </c>
      <c r="AB22" s="17" t="s">
        <v>236</v>
      </c>
      <c r="AC22" s="17" t="s">
        <v>215</v>
      </c>
      <c r="AD22" s="17" t="s">
        <v>242</v>
      </c>
      <c r="AE22" s="17" t="s">
        <v>242</v>
      </c>
      <c r="AF22" s="17" t="s">
        <v>242</v>
      </c>
      <c r="AH22" s="16"/>
      <c r="AK22" s="16" t="s">
        <v>200</v>
      </c>
      <c r="AL22" s="16" t="s">
        <v>174</v>
      </c>
      <c r="AM22" s="16" t="s">
        <v>174</v>
      </c>
      <c r="AN22" s="16" t="s">
        <v>174</v>
      </c>
      <c r="AO22" s="16" t="s">
        <v>174</v>
      </c>
      <c r="BC22" s="22" t="s">
        <v>138</v>
      </c>
    </row>
    <row r="23" spans="1:55" x14ac:dyDescent="0.35">
      <c r="A23" s="109" t="str">
        <f>IF(I13=13,AK17,IF(I13=16,AK37,IF(I13=18,AB13,IF(I13=19,AB25,IF(I13=20,AB32,IF(I13=21,S5,IF(I13=22,S16,"")))))))</f>
        <v/>
      </c>
      <c r="B23" s="109"/>
      <c r="C23" s="109" t="str">
        <f>IF(AND(I13=13,C7=2),AL17,IF(AND(I13=13,C7=3),AM17,IF(AND(I13=13,C7=4),AN17,IF(AND(I13=13,C7=5),AO17,IF(AND(I13=16,C7=2),AL37,IF(AND(I13=16,C7=3),AM37,IF(AND(I13=16,C7=4),AN37,IF(AND(I13=16,C7=5),AO37,IF(AND(I13=18,C7=2),AC13,IF(AND(I13=18,C7=3),AD13,IF(AND(I13=18,C7=4),AE13,IF(AND(I13=18,C7=5),AF13,IF(AND(I13=19,C7=2),AC25,IF(AND(I13=19,C7=3),AD25,IF(AND(I13=19,C7=4),AE25,IF(AND(I13=19,C7=5),AF25,IF(AND(I13=20,C7=2),AC32,IF(AND(I13=20,C7=3),AD32,IF(AND(I13=20,C7=4),AE32,IF(AND(I13=20,C7=5),AF32,IF(AND(I13=21,C7=2),T5,IF(AND(I13=21,C7=3),U5,IF(AND(I13=21,C7=4),V5,IF(AND(I13=21,C7=5),W5,IF(AND(I13=22,C7=2),T16,IF(AND(I13=22,C7=3),U16,IF(AND(I13=22,C7=4),V16,IF(AND(I13=22,C7=5),W16,""))))))))))))))))))))))))))))</f>
        <v/>
      </c>
      <c r="D23" s="109"/>
      <c r="E23" s="109"/>
      <c r="F23" s="109"/>
      <c r="G23" s="109"/>
      <c r="H23" s="109"/>
      <c r="I23" s="109"/>
      <c r="S23" s="17" t="s">
        <v>276</v>
      </c>
      <c r="T23" s="17" t="s">
        <v>174</v>
      </c>
      <c r="U23" s="17" t="s">
        <v>174</v>
      </c>
      <c r="V23" s="17" t="s">
        <v>174</v>
      </c>
      <c r="W23" s="17" t="s">
        <v>174</v>
      </c>
      <c r="AB23" s="17" t="s">
        <v>237</v>
      </c>
      <c r="AC23" s="17" t="s">
        <v>174</v>
      </c>
      <c r="AD23" s="17" t="s">
        <v>173</v>
      </c>
      <c r="AE23" s="17" t="s">
        <v>174</v>
      </c>
      <c r="AF23" s="17" t="s">
        <v>173</v>
      </c>
      <c r="AH23" s="16"/>
      <c r="AK23" s="16" t="s">
        <v>201</v>
      </c>
      <c r="AL23" s="16" t="s">
        <v>174</v>
      </c>
      <c r="AM23" s="16" t="s">
        <v>174</v>
      </c>
      <c r="AN23" s="16" t="s">
        <v>174</v>
      </c>
      <c r="AO23" s="16" t="s">
        <v>174</v>
      </c>
      <c r="AT23" s="16" t="s">
        <v>149</v>
      </c>
      <c r="BC23" s="22" t="s">
        <v>139</v>
      </c>
    </row>
    <row r="24" spans="1:55" x14ac:dyDescent="0.35">
      <c r="A24" s="109" t="str">
        <f>IF(I13=13,AK18,IF(I13=16,AK38,IF(I13=18,AB14,IF(I13=19,AB26,IF(I13=20,AB33,IF(I13=21,S6,IF(I13=22,S17,"")))))))</f>
        <v/>
      </c>
      <c r="B24" s="109"/>
      <c r="C24" s="109" t="str">
        <f>IF(AND(I13=13,C7=2),AL18,IF(AND(I13=13,C7=3),AM18,IF(AND(I13=13,C7=4),AN18,IF(AND(I13=13,C7=5),AO18,IF(AND(I13=16,C7=2),AL38,IF(AND(I13=16,C7=3),AM38,IF(AND(I13=16,C7=4),AN38,IF(AND(I13=16,C7=5),AO38,IF(AND(I13=18,C7=2),AC14,IF(AND(I13=18,C7=3),AD14,IF(AND(I13=18,C7=4),AE14,IF(AND(I13=18,C7=5),AF14,IF(AND(I13=19,C7=2),AC26,IF(AND(I13=19,C7=3),AD26,IF(AND(I13=19,C7=4),AE26,IF(AND(I13=19,C7=5),AF26,IF(AND(I13=20,C7=2),AC33,IF(AND(I13=20,C7=3),AD33,IF(AND(I13=20,C7=4),AE33,IF(AND(I13=20,C7=5),AF33,IF(AND(I13=21,C7=2),T6,IF(AND(I13=21,C7=3),U6,IF(AND(I13=21,C7=4),V6,IF(AND(I13=21,C7=5),W6,IF(AND(I13=22,C7=2),T17,IF(AND(I13=22,C7=3),U17,IF(AND(I13=22,C7=4),V17,IF(AND(I13=22,C7=5),W17,""))))))))))))))))))))))))))))</f>
        <v/>
      </c>
      <c r="D24" s="109"/>
      <c r="E24" s="109"/>
      <c r="F24" s="109"/>
      <c r="G24" s="109"/>
      <c r="H24" s="109"/>
      <c r="I24" s="109"/>
      <c r="S24" s="17" t="s">
        <v>277</v>
      </c>
      <c r="T24" s="17" t="s">
        <v>174</v>
      </c>
      <c r="U24" s="17" t="s">
        <v>174</v>
      </c>
      <c r="V24" s="17" t="s">
        <v>174</v>
      </c>
      <c r="W24" s="17" t="s">
        <v>174</v>
      </c>
      <c r="AB24" s="17" t="s">
        <v>238</v>
      </c>
      <c r="AC24" s="17" t="s">
        <v>174</v>
      </c>
      <c r="AD24" s="17" t="s">
        <v>176</v>
      </c>
      <c r="AE24" s="17" t="s">
        <v>174</v>
      </c>
      <c r="AF24" s="17" t="s">
        <v>176</v>
      </c>
      <c r="AH24" s="16"/>
      <c r="AK24" s="16" t="s">
        <v>202</v>
      </c>
      <c r="AL24" s="16" t="s">
        <v>174</v>
      </c>
      <c r="AM24" s="16" t="s">
        <v>174</v>
      </c>
      <c r="AN24" s="16" t="s">
        <v>174</v>
      </c>
      <c r="AO24" s="16" t="s">
        <v>174</v>
      </c>
      <c r="BC24" s="16" t="s">
        <v>140</v>
      </c>
    </row>
    <row r="25" spans="1:55" x14ac:dyDescent="0.35">
      <c r="A25" s="109" t="str">
        <f>IF(I13=13,AK19,IF(I13=16,AK39,IF(I13=18,AB15,IF(I13=20,AB34,IF(I13=21,S7,IF(I13=22,S18,""))))))</f>
        <v/>
      </c>
      <c r="B25" s="109"/>
      <c r="C25" s="109" t="str">
        <f>IF(AND(I13=13,C7=2),AL19,IF(AND(I13=13,C7=3),AM19,IF(AND(I13=13,C7=4),AN19,IF(AND(I13=13,C7=5),AO19,IF(AND(I13=16,C7=2),AL39,IF(AND(I13=16,C7=3),AM39,IF(AND(I13=16,C7=4),AN39,IF(AND(I13=16,C7=5),AO39,IF(AND(I13=18,C7=2),AC15,IF(AND(I13=18,C7=3),AD15,IF(AND(I13=18,C7=4),AE15,IF(AND(I13=18,C7=5),AF15,IF(AND(I13=20,C7=2),AC34,IF(AND(I13=20,C7=3),AD34,IF(AND(I13=20,C7=4),AE34,IF(AND(I13=20,C7=5),AF34,IF(AND(I13=21,C7=2),T7,IF(AND(I13=21,C7=3),U7,IF(AND(I13=21,C7=4),V7,IF(AND(I13=21,C7=5),W7,IF(AND(I13=22,C7=2),T18,IF(AND(I13=22,C7=3),U18,IF(AND(I13=22,C7=4),V18,IF(AND(I13=22,C7=5),W18,""))))))))))))))))))))))))</f>
        <v/>
      </c>
      <c r="D25" s="109"/>
      <c r="E25" s="109"/>
      <c r="F25" s="109"/>
      <c r="G25" s="109"/>
      <c r="H25" s="109"/>
      <c r="I25" s="109"/>
      <c r="S25" s="17" t="s">
        <v>278</v>
      </c>
      <c r="T25" s="17" t="s">
        <v>174</v>
      </c>
      <c r="U25" s="17" t="s">
        <v>174</v>
      </c>
      <c r="V25" s="17" t="s">
        <v>174</v>
      </c>
      <c r="W25" s="17" t="s">
        <v>174</v>
      </c>
      <c r="AB25" s="17" t="s">
        <v>239</v>
      </c>
      <c r="AC25" s="17" t="s">
        <v>174</v>
      </c>
      <c r="AD25" s="17" t="s">
        <v>176</v>
      </c>
      <c r="AE25" s="17" t="s">
        <v>174</v>
      </c>
      <c r="AF25" s="17" t="s">
        <v>176</v>
      </c>
      <c r="AH25" s="16"/>
      <c r="AT25" s="16" t="s">
        <v>150</v>
      </c>
      <c r="BC25" s="16" t="s">
        <v>141</v>
      </c>
    </row>
    <row r="26" spans="1:55" x14ac:dyDescent="0.35">
      <c r="A26" s="109" t="str">
        <f>IF(I13=13,AK20,IF(I13=18,AB16,IF(I13=20,AB35,IF(I13=21,S8,IF(I13=22,S19,"")))))</f>
        <v/>
      </c>
      <c r="B26" s="109"/>
      <c r="C26" s="109" t="str">
        <f>IF(AND(I13=13,C7=2),AL20,IF(AND(I13=13,C7=3),AM20,IF(AND(I13=13,C7=4),AN20,IF(AND(I13=13,C7=5),AO20,IF(AND(I13=18,C7=2),AC16,IF(AND(I13=18,C7=3),AD16,IF(AND(I13=18,C7=4),AE16,IF(AND(I13=18,C7=5),AF16,IF(AND(I13=20,C7=2),AC35,IF(AND(I13=20,C7=3),AD35,IF(AND(I13=20,C7=4),AE35,IF(AND(I13=20,C7=5),AF35,IF(AND(I13=21,C7=2),T8,IF(AND(I13=21,C7=3),U8,IF(AND(I13=21,C7=4),V8,IF(AND(I13=21,C7=5),W8,IF(AND(I13=22,C7=2),T19,IF(AND(I13=22,C7=3),U19,IF(AND(I13=22,C7=4),V19,IF(AND(I13=22,C7=5),W19,""))))))))))))))))))))</f>
        <v/>
      </c>
      <c r="D26" s="109"/>
      <c r="E26" s="109"/>
      <c r="F26" s="109"/>
      <c r="G26" s="109"/>
      <c r="H26" s="109"/>
      <c r="I26" s="109"/>
      <c r="S26" s="17" t="s">
        <v>279</v>
      </c>
      <c r="T26" s="17" t="s">
        <v>174</v>
      </c>
      <c r="U26" s="17" t="s">
        <v>174</v>
      </c>
      <c r="V26" s="17" t="s">
        <v>174</v>
      </c>
      <c r="W26" s="17" t="s">
        <v>174</v>
      </c>
      <c r="AB26" s="17" t="s">
        <v>240</v>
      </c>
      <c r="AC26" s="17" t="s">
        <v>174</v>
      </c>
      <c r="AD26" s="17" t="s">
        <v>174</v>
      </c>
      <c r="AE26" s="17" t="s">
        <v>174</v>
      </c>
      <c r="AF26" s="17" t="s">
        <v>174</v>
      </c>
      <c r="AH26" s="16"/>
      <c r="AK26" s="16" t="s">
        <v>203</v>
      </c>
      <c r="AL26" s="16" t="s">
        <v>174</v>
      </c>
      <c r="AM26" s="16" t="s">
        <v>174</v>
      </c>
      <c r="AN26" s="16" t="s">
        <v>174</v>
      </c>
      <c r="AO26" s="16" t="s">
        <v>174</v>
      </c>
      <c r="AT26" s="16" t="s">
        <v>151</v>
      </c>
      <c r="BC26" s="16" t="s">
        <v>142</v>
      </c>
    </row>
    <row r="27" spans="1:55" x14ac:dyDescent="0.35">
      <c r="A27" s="109" t="str">
        <f>IF(I13=18,AB17,IF(I13=20,AB36,IF(I13=21,S9,IF(I13=22,S20,""))))</f>
        <v/>
      </c>
      <c r="B27" s="109"/>
      <c r="C27" s="109" t="str">
        <f>IF(AND(I13=18,C7=2),AC17,IF(AND(I13=18,C7=3),AD17,IF(AND(I13=18,C7=4),AE17,IF(AND(I13=18,C7=5),AF17,IF(AND(I13=20,C7=2),AC36,IF(AND(I13=20,C7=3),AD36,IF(AND(I13=20,C7=4),AE36,IF(AND(I13=20,C7=5),AF36,IF(AND(I13=21,C7=2),T9,IF(AND(I13=21,C7=3),U9,IF(AND(I13=21,C7=4),V9,IF(AND(I13=21,C7=5),W9,IF(AND(I13=22,C7=2),T20,IF(AND(I13=22,C7=3),U20,IF(AND(I13=22,C7=4),V20,IF(AND(I13=22,C7=5),W20,""))))))))))))))))</f>
        <v/>
      </c>
      <c r="D27" s="109"/>
      <c r="E27" s="109"/>
      <c r="F27" s="109"/>
      <c r="G27" s="109"/>
      <c r="H27" s="109"/>
      <c r="I27" s="109"/>
      <c r="AK27" s="16" t="s">
        <v>204</v>
      </c>
      <c r="AL27" s="16" t="s">
        <v>174</v>
      </c>
      <c r="AM27" s="16" t="s">
        <v>174</v>
      </c>
      <c r="AN27" s="16" t="s">
        <v>174</v>
      </c>
      <c r="AO27" s="16" t="s">
        <v>174</v>
      </c>
      <c r="AT27" s="16" t="s">
        <v>152</v>
      </c>
      <c r="BC27" s="16" t="s">
        <v>143</v>
      </c>
    </row>
    <row r="28" spans="1:55" x14ac:dyDescent="0.35">
      <c r="A28" s="109" t="str">
        <f>IF(I13=18,AB18,IF(I13=20,AB37,IF(I13=21,S10,IF(I13=22,S21,""))))</f>
        <v/>
      </c>
      <c r="B28" s="109"/>
      <c r="C28" s="109" t="str">
        <f>IF(AND(I13=18,C7=2),AC18,IF(AND(I13=18,C7=3),AD18,IF(AND(I13=18,C7=4),AE18,IF(AND(I13=18,C7=5),AF18,IF(AND(I13=20,C7=2),AC37,IF(AND(I13=20,C7=3),AD37,IF(AND(I13=20,C7=4),AE37,IF(AND(I13=20,C7=5),AF37,IF(AND(I13=21,C7=2),T10,IF(AND(I13=21,C7=3),U10,IF(AND(I13=21,C7=4),V10,IF(AND(I13=21,C7=5),W10,IF(AND(I13=22,C7=2),T21,IF(AND(I13=22,C7=3),U21,IF(AND(I13=22,C7=4),V21,IF(AND(I13=22,C7=5),W21,""))))))))))))))))</f>
        <v/>
      </c>
      <c r="D28" s="109"/>
      <c r="E28" s="109"/>
      <c r="F28" s="109"/>
      <c r="G28" s="109"/>
      <c r="H28" s="109"/>
      <c r="I28" s="109"/>
      <c r="AB28" s="17" t="s">
        <v>243</v>
      </c>
      <c r="AC28" s="17" t="s">
        <v>174</v>
      </c>
      <c r="AD28" s="17" t="s">
        <v>174</v>
      </c>
      <c r="AE28" s="17" t="s">
        <v>174</v>
      </c>
      <c r="AF28" s="17" t="s">
        <v>174</v>
      </c>
      <c r="AK28" s="16" t="s">
        <v>205</v>
      </c>
      <c r="AL28" s="16" t="s">
        <v>174</v>
      </c>
      <c r="AM28" s="16" t="s">
        <v>174</v>
      </c>
      <c r="AN28" s="16" t="s">
        <v>174</v>
      </c>
      <c r="AO28" s="16" t="s">
        <v>174</v>
      </c>
      <c r="AT28" s="16" t="s">
        <v>153</v>
      </c>
    </row>
    <row r="29" spans="1:55" x14ac:dyDescent="0.35">
      <c r="A29" s="109" t="str">
        <f>IF(I13=20,AB38,IF(I13=22,S22,""))</f>
        <v/>
      </c>
      <c r="B29" s="109"/>
      <c r="C29" s="109" t="str">
        <f>IF(AND(I13=20,C7=2),AC38,IF(AND(I13=20,C7=3),AD38,IF(AND(I13=20,C7=4),AE38,IF(AND(I13=20,C7=5),AF38,IF(AND(I13=22,C7=2),T22,IF(AND(I13=22,C7=3),U22,IF(AND(I13=22,C7=4),V22,IF(AND(I13=22,C7=5),W22,""))))))))</f>
        <v/>
      </c>
      <c r="D29" s="109"/>
      <c r="E29" s="109"/>
      <c r="F29" s="109"/>
      <c r="G29" s="109"/>
      <c r="H29" s="109"/>
      <c r="I29" s="109"/>
      <c r="AB29" s="17" t="s">
        <v>244</v>
      </c>
      <c r="AC29" s="17" t="s">
        <v>175</v>
      </c>
      <c r="AD29" s="17" t="s">
        <v>173</v>
      </c>
      <c r="AE29" s="17" t="s">
        <v>173</v>
      </c>
      <c r="AF29" s="17" t="s">
        <v>175</v>
      </c>
      <c r="AT29" s="16" t="s">
        <v>154</v>
      </c>
    </row>
    <row r="30" spans="1:55" x14ac:dyDescent="0.35">
      <c r="A30" s="109" t="str">
        <f>IF(I13=20,AB39,IF(I13=22,S23,""))</f>
        <v/>
      </c>
      <c r="B30" s="109"/>
      <c r="C30" s="109" t="str">
        <f>IF(AND(I13=20,C7=2),AC39,IF(AND(I13=20,C7=3),AD39,IF(AND(I13=20,C7=4),AE39,IF(AND(I13=20,C7=5),AF39,IF(AND(I13=22,C7=2),T23,IF(AND(I13=22,C7=3),U23,IF(AND(I13=22,C7=4),V23,IF(AND(I13=22,C7=5),W23,""))))))))</f>
        <v/>
      </c>
      <c r="D30" s="109"/>
      <c r="E30" s="109"/>
      <c r="F30" s="109"/>
      <c r="G30" s="109"/>
      <c r="H30" s="109"/>
      <c r="I30" s="109"/>
      <c r="AB30" s="17" t="s">
        <v>245</v>
      </c>
      <c r="AC30" s="17" t="s">
        <v>174</v>
      </c>
      <c r="AD30" s="17" t="s">
        <v>174</v>
      </c>
      <c r="AE30" s="17" t="s">
        <v>174</v>
      </c>
      <c r="AF30" s="17" t="s">
        <v>174</v>
      </c>
      <c r="AK30" s="16" t="s">
        <v>216</v>
      </c>
      <c r="AL30" s="16" t="s">
        <v>215</v>
      </c>
      <c r="AM30" s="16" t="s">
        <v>215</v>
      </c>
      <c r="AN30" s="16" t="s">
        <v>215</v>
      </c>
      <c r="AO30" s="16" t="s">
        <v>215</v>
      </c>
    </row>
    <row r="31" spans="1:55" x14ac:dyDescent="0.35">
      <c r="A31" s="109" t="str">
        <f>IF(I13=20,AB40,IF(I13=22,S24,""))</f>
        <v/>
      </c>
      <c r="B31" s="109"/>
      <c r="C31" s="109" t="str">
        <f>IF(AND(I13=20,C7=2),AC40,IF(AND(I13=20,C7=3),AD40,IF(AND(I13=20,C7=4),AE40,IF(AND(I13=20,C7=5),AF40,IF(AND(I13=22,C7=2),T24,IF(AND(I13=22,C7=3),U24,IF(AND(I13=22,C7=4),V24,IF(AND(I13=22,C7=5),W24,""))))))))</f>
        <v/>
      </c>
      <c r="D31" s="109"/>
      <c r="E31" s="109"/>
      <c r="F31" s="109"/>
      <c r="G31" s="109"/>
      <c r="H31" s="109"/>
      <c r="I31" s="109"/>
      <c r="AB31" s="17" t="s">
        <v>246</v>
      </c>
      <c r="AC31" s="17" t="s">
        <v>174</v>
      </c>
      <c r="AD31" s="17" t="s">
        <v>174</v>
      </c>
      <c r="AE31" s="17" t="s">
        <v>174</v>
      </c>
      <c r="AF31" s="17" t="s">
        <v>174</v>
      </c>
      <c r="AK31" s="16" t="s">
        <v>206</v>
      </c>
      <c r="AL31" s="16" t="s">
        <v>215</v>
      </c>
      <c r="AM31" s="16" t="s">
        <v>215</v>
      </c>
      <c r="AN31" s="16" t="s">
        <v>215</v>
      </c>
      <c r="AO31" s="16" t="s">
        <v>215</v>
      </c>
      <c r="AT31" s="16" t="s">
        <v>163</v>
      </c>
    </row>
    <row r="32" spans="1:55" x14ac:dyDescent="0.35">
      <c r="A32" s="109" t="str">
        <f>IF(I13=20,AB41,IF(I13=22,S25,""))</f>
        <v/>
      </c>
      <c r="B32" s="109"/>
      <c r="C32" s="109" t="str">
        <f>IF(AND(I13=20,C7=2),AC41,IF(AND(I13=20,C7=3),AD41,IF(AND(I13=20,C7=4),AE41,IF(AND(I13=20,C7=5),AF41,IF(AND(I13=22,C7=2),T25,IF(AND(I13=22,C7=3),U25,IF(AND(I13=22,C7=4),V25,IF(AND(I13=22,C7=5),W25,""))))))))</f>
        <v/>
      </c>
      <c r="D32" s="109"/>
      <c r="E32" s="109"/>
      <c r="F32" s="109"/>
      <c r="G32" s="109"/>
      <c r="H32" s="109"/>
      <c r="I32" s="109"/>
      <c r="AB32" s="17" t="s">
        <v>247</v>
      </c>
      <c r="AC32" s="17" t="s">
        <v>174</v>
      </c>
      <c r="AD32" s="17" t="s">
        <v>174</v>
      </c>
      <c r="AE32" s="17" t="s">
        <v>174</v>
      </c>
      <c r="AF32" s="17" t="s">
        <v>174</v>
      </c>
      <c r="AK32" s="16" t="s">
        <v>207</v>
      </c>
      <c r="AL32" s="16" t="s">
        <v>176</v>
      </c>
      <c r="AM32" s="16" t="s">
        <v>176</v>
      </c>
      <c r="AN32" s="16" t="s">
        <v>176</v>
      </c>
      <c r="AO32" s="16" t="s">
        <v>176</v>
      </c>
      <c r="AT32" s="16" t="s">
        <v>155</v>
      </c>
    </row>
    <row r="33" spans="1:46" x14ac:dyDescent="0.35">
      <c r="A33" s="109" t="str">
        <f>IF(I13=22,S26,"")</f>
        <v/>
      </c>
      <c r="B33" s="109"/>
      <c r="C33" s="109" t="str">
        <f>IF(AND(I13=22,C7=2),T26,IF(AND(I13=22,C7=3),U26,IF(AND(I13=22,C7=4),V26,IF(AND(I13=22,C7=5),W26,""))))</f>
        <v/>
      </c>
      <c r="D33" s="109"/>
      <c r="E33" s="109"/>
      <c r="F33" s="109"/>
      <c r="G33" s="109"/>
      <c r="H33" s="109"/>
      <c r="I33" s="109"/>
      <c r="AB33" s="17" t="s">
        <v>248</v>
      </c>
      <c r="AC33" s="17" t="s">
        <v>174</v>
      </c>
      <c r="AD33" s="17" t="s">
        <v>174</v>
      </c>
      <c r="AE33" s="17" t="s">
        <v>174</v>
      </c>
      <c r="AF33" s="17" t="s">
        <v>174</v>
      </c>
      <c r="AK33" s="16" t="s">
        <v>208</v>
      </c>
      <c r="AL33" s="16" t="s">
        <v>176</v>
      </c>
      <c r="AM33" s="16" t="s">
        <v>176</v>
      </c>
      <c r="AN33" s="16" t="s">
        <v>176</v>
      </c>
      <c r="AO33" s="16" t="s">
        <v>176</v>
      </c>
      <c r="AT33" s="16" t="s">
        <v>164</v>
      </c>
    </row>
    <row r="34" spans="1:46" x14ac:dyDescent="0.35">
      <c r="AB34" s="17" t="s">
        <v>249</v>
      </c>
      <c r="AC34" s="17" t="s">
        <v>173</v>
      </c>
      <c r="AD34" s="17" t="s">
        <v>173</v>
      </c>
      <c r="AE34" s="17" t="s">
        <v>173</v>
      </c>
      <c r="AF34" s="17" t="s">
        <v>173</v>
      </c>
      <c r="AK34" s="16" t="s">
        <v>209</v>
      </c>
      <c r="AL34" s="16" t="s">
        <v>174</v>
      </c>
      <c r="AM34" s="16" t="s">
        <v>173</v>
      </c>
      <c r="AN34" s="16" t="s">
        <v>174</v>
      </c>
      <c r="AO34" s="16" t="s">
        <v>173</v>
      </c>
      <c r="AT34" s="16" t="s">
        <v>156</v>
      </c>
    </row>
    <row r="35" spans="1:46" x14ac:dyDescent="0.35">
      <c r="AB35" s="17" t="s">
        <v>250</v>
      </c>
      <c r="AC35" s="17" t="s">
        <v>174</v>
      </c>
      <c r="AD35" s="17" t="s">
        <v>173</v>
      </c>
      <c r="AE35" s="17" t="s">
        <v>174</v>
      </c>
      <c r="AF35" s="17" t="s">
        <v>173</v>
      </c>
      <c r="AK35" s="16" t="s">
        <v>210</v>
      </c>
      <c r="AL35" s="16" t="s">
        <v>174</v>
      </c>
      <c r="AM35" s="16" t="s">
        <v>176</v>
      </c>
      <c r="AN35" s="16" t="s">
        <v>174</v>
      </c>
      <c r="AO35" s="16" t="s">
        <v>176</v>
      </c>
      <c r="AT35" s="16" t="s">
        <v>157</v>
      </c>
    </row>
    <row r="36" spans="1:46" x14ac:dyDescent="0.35">
      <c r="AB36" s="17" t="s">
        <v>251</v>
      </c>
      <c r="AC36" s="17" t="s">
        <v>173</v>
      </c>
      <c r="AD36" s="17" t="s">
        <v>173</v>
      </c>
      <c r="AE36" s="17" t="s">
        <v>173</v>
      </c>
      <c r="AF36" s="17" t="s">
        <v>175</v>
      </c>
      <c r="AK36" s="16" t="s">
        <v>211</v>
      </c>
      <c r="AL36" s="16" t="s">
        <v>215</v>
      </c>
      <c r="AM36" s="16" t="s">
        <v>215</v>
      </c>
      <c r="AN36" s="16" t="s">
        <v>215</v>
      </c>
      <c r="AO36" s="16" t="s">
        <v>215</v>
      </c>
      <c r="AT36" s="16" t="s">
        <v>158</v>
      </c>
    </row>
    <row r="37" spans="1:46" x14ac:dyDescent="0.35">
      <c r="AB37" s="17" t="s">
        <v>252</v>
      </c>
      <c r="AC37" s="17" t="s">
        <v>175</v>
      </c>
      <c r="AD37" s="17" t="s">
        <v>173</v>
      </c>
      <c r="AE37" s="17" t="s">
        <v>173</v>
      </c>
      <c r="AF37" s="17" t="s">
        <v>175</v>
      </c>
      <c r="AK37" s="16" t="s">
        <v>212</v>
      </c>
      <c r="AL37" s="16" t="s">
        <v>215</v>
      </c>
      <c r="AM37" s="16" t="s">
        <v>215</v>
      </c>
      <c r="AN37" s="16" t="s">
        <v>215</v>
      </c>
      <c r="AO37" s="16" t="s">
        <v>215</v>
      </c>
      <c r="AT37" s="16" t="s">
        <v>165</v>
      </c>
    </row>
    <row r="38" spans="1:46" x14ac:dyDescent="0.35">
      <c r="AB38" s="17" t="s">
        <v>253</v>
      </c>
      <c r="AC38" s="17" t="s">
        <v>174</v>
      </c>
      <c r="AD38" s="17" t="s">
        <v>174</v>
      </c>
      <c r="AE38" s="17" t="s">
        <v>174</v>
      </c>
      <c r="AF38" s="17" t="s">
        <v>174</v>
      </c>
      <c r="AK38" s="16" t="s">
        <v>213</v>
      </c>
      <c r="AL38" s="16" t="s">
        <v>174</v>
      </c>
      <c r="AM38" s="16" t="s">
        <v>174</v>
      </c>
      <c r="AN38" s="16" t="s">
        <v>174</v>
      </c>
      <c r="AO38" s="16" t="s">
        <v>174</v>
      </c>
    </row>
    <row r="39" spans="1:46" x14ac:dyDescent="0.35">
      <c r="AB39" s="17" t="s">
        <v>254</v>
      </c>
      <c r="AC39" s="17" t="s">
        <v>174</v>
      </c>
      <c r="AD39" s="17" t="s">
        <v>173</v>
      </c>
      <c r="AE39" s="17" t="s">
        <v>174</v>
      </c>
      <c r="AF39" s="17" t="s">
        <v>173</v>
      </c>
      <c r="AK39" s="16" t="s">
        <v>214</v>
      </c>
      <c r="AL39" s="16" t="s">
        <v>174</v>
      </c>
      <c r="AM39" s="16" t="s">
        <v>174</v>
      </c>
      <c r="AN39" s="16" t="s">
        <v>174</v>
      </c>
      <c r="AO39" s="16" t="s">
        <v>174</v>
      </c>
      <c r="AT39" s="16" t="s">
        <v>159</v>
      </c>
    </row>
    <row r="40" spans="1:46" x14ac:dyDescent="0.35">
      <c r="AB40" s="17" t="s">
        <v>255</v>
      </c>
      <c r="AC40" s="17" t="s">
        <v>175</v>
      </c>
      <c r="AD40" s="17" t="s">
        <v>175</v>
      </c>
      <c r="AE40" s="17" t="s">
        <v>175</v>
      </c>
      <c r="AF40" s="17" t="s">
        <v>175</v>
      </c>
      <c r="AT40" s="16" t="s">
        <v>160</v>
      </c>
    </row>
    <row r="41" spans="1:46" x14ac:dyDescent="0.35">
      <c r="AB41" s="17" t="s">
        <v>256</v>
      </c>
      <c r="AC41" s="17" t="s">
        <v>174</v>
      </c>
      <c r="AD41" s="17" t="s">
        <v>174</v>
      </c>
      <c r="AE41" s="17" t="s">
        <v>174</v>
      </c>
      <c r="AF41" s="17" t="s">
        <v>174</v>
      </c>
      <c r="AT41" s="16" t="s">
        <v>161</v>
      </c>
    </row>
    <row r="42" spans="1:46" x14ac:dyDescent="0.35">
      <c r="AT42" s="16" t="s">
        <v>162</v>
      </c>
    </row>
    <row r="43" spans="1:46" x14ac:dyDescent="0.35">
      <c r="AT43" s="16" t="s">
        <v>167</v>
      </c>
    </row>
    <row r="44" spans="1:46" x14ac:dyDescent="0.35">
      <c r="AT44" s="16" t="s">
        <v>166</v>
      </c>
    </row>
    <row r="51" spans="46:51" x14ac:dyDescent="0.35">
      <c r="AT51" s="16" t="s">
        <v>168</v>
      </c>
      <c r="AV51" s="16" t="s">
        <v>174</v>
      </c>
      <c r="AW51" s="16" t="s">
        <v>173</v>
      </c>
      <c r="AX51" s="16" t="s">
        <v>174</v>
      </c>
      <c r="AY51" s="16" t="s">
        <v>173</v>
      </c>
    </row>
    <row r="52" spans="46:51" x14ac:dyDescent="0.35">
      <c r="AT52" s="16" t="s">
        <v>169</v>
      </c>
      <c r="AV52" s="16" t="s">
        <v>175</v>
      </c>
      <c r="AW52" s="16" t="s">
        <v>175</v>
      </c>
      <c r="AX52" s="16" t="s">
        <v>175</v>
      </c>
      <c r="AY52" s="16" t="s">
        <v>175</v>
      </c>
    </row>
    <row r="53" spans="46:51" x14ac:dyDescent="0.35">
      <c r="AT53" s="16" t="s">
        <v>170</v>
      </c>
      <c r="AV53" s="16" t="s">
        <v>174</v>
      </c>
      <c r="AW53" s="16" t="s">
        <v>176</v>
      </c>
      <c r="AX53" s="16" t="s">
        <v>174</v>
      </c>
      <c r="AY53" s="16" t="s">
        <v>176</v>
      </c>
    </row>
    <row r="54" spans="46:51" x14ac:dyDescent="0.35">
      <c r="AT54" s="16" t="s">
        <v>171</v>
      </c>
      <c r="AV54" s="16" t="s">
        <v>174</v>
      </c>
      <c r="AW54" s="16" t="s">
        <v>176</v>
      </c>
      <c r="AX54" s="16" t="s">
        <v>174</v>
      </c>
      <c r="AY54" s="16" t="s">
        <v>176</v>
      </c>
    </row>
    <row r="55" spans="46:51" x14ac:dyDescent="0.35">
      <c r="AT55" s="16" t="s">
        <v>172</v>
      </c>
      <c r="AV55" s="16" t="s">
        <v>174</v>
      </c>
      <c r="AW55" s="16" t="s">
        <v>176</v>
      </c>
      <c r="AX55" s="16" t="s">
        <v>174</v>
      </c>
      <c r="AY55" s="16" t="s">
        <v>176</v>
      </c>
    </row>
    <row r="57" spans="46:51" x14ac:dyDescent="0.35">
      <c r="AT57" s="16" t="s">
        <v>177</v>
      </c>
      <c r="AV57" s="16" t="s">
        <v>174</v>
      </c>
      <c r="AW57" s="16" t="s">
        <v>174</v>
      </c>
      <c r="AX57" s="16" t="s">
        <v>174</v>
      </c>
      <c r="AY57" s="16" t="s">
        <v>174</v>
      </c>
    </row>
    <row r="58" spans="46:51" x14ac:dyDescent="0.35">
      <c r="AT58" s="16" t="s">
        <v>178</v>
      </c>
      <c r="AV58" s="16" t="s">
        <v>174</v>
      </c>
      <c r="AW58" s="16" t="s">
        <v>174</v>
      </c>
      <c r="AX58" s="16" t="s">
        <v>174</v>
      </c>
      <c r="AY58" s="16" t="s">
        <v>174</v>
      </c>
    </row>
    <row r="59" spans="46:51" x14ac:dyDescent="0.35">
      <c r="AT59" s="16" t="s">
        <v>179</v>
      </c>
      <c r="AV59" s="16" t="s">
        <v>174</v>
      </c>
      <c r="AW59" s="16" t="s">
        <v>174</v>
      </c>
      <c r="AX59" s="16" t="s">
        <v>174</v>
      </c>
      <c r="AY59" s="16" t="s">
        <v>174</v>
      </c>
    </row>
    <row r="60" spans="46:51" x14ac:dyDescent="0.35">
      <c r="AT60" s="16" t="s">
        <v>180</v>
      </c>
      <c r="AV60" s="16" t="s">
        <v>174</v>
      </c>
      <c r="AW60" s="16" t="s">
        <v>174</v>
      </c>
      <c r="AX60" s="16" t="s">
        <v>174</v>
      </c>
      <c r="AY60" s="16" t="s">
        <v>174</v>
      </c>
    </row>
  </sheetData>
  <sheetProtection algorithmName="SHA-512" hashValue="Kl/Ft8Xm2gadydeyWEDY1eRJTy7GBxmRfnxReVuoYY/D6egeDeIm1pjbC8Zka5Ayz0iWZHN9AxRppYCmyro8Tg==" saltValue="n5kbBDrKssXPqmLI829F9g==" spinCount="100000" sheet="1" objects="1" scenarios="1"/>
  <mergeCells count="39">
    <mergeCell ref="A1:I5"/>
    <mergeCell ref="C16:I16"/>
    <mergeCell ref="E9:F9"/>
    <mergeCell ref="E11:F11"/>
    <mergeCell ref="A33:B33"/>
    <mergeCell ref="C33:I33"/>
    <mergeCell ref="A22:B22"/>
    <mergeCell ref="C22:I22"/>
    <mergeCell ref="C17:I17"/>
    <mergeCell ref="A16:B16"/>
    <mergeCell ref="A17:B17"/>
    <mergeCell ref="A18:B18"/>
    <mergeCell ref="A19:B19"/>
    <mergeCell ref="A20:B20"/>
    <mergeCell ref="A21:B21"/>
    <mergeCell ref="C18:I18"/>
    <mergeCell ref="C19:I19"/>
    <mergeCell ref="C20:I20"/>
    <mergeCell ref="C21:I21"/>
    <mergeCell ref="A23:B23"/>
    <mergeCell ref="A24:B24"/>
    <mergeCell ref="A25:B25"/>
    <mergeCell ref="A26:B26"/>
    <mergeCell ref="C23:I23"/>
    <mergeCell ref="C24:I24"/>
    <mergeCell ref="C25:I25"/>
    <mergeCell ref="C26:I26"/>
    <mergeCell ref="A27:B27"/>
    <mergeCell ref="A28:B28"/>
    <mergeCell ref="C27:I27"/>
    <mergeCell ref="C28:I28"/>
    <mergeCell ref="A29:B29"/>
    <mergeCell ref="A31:B31"/>
    <mergeCell ref="A32:B32"/>
    <mergeCell ref="C29:I29"/>
    <mergeCell ref="C30:I30"/>
    <mergeCell ref="C31:I31"/>
    <mergeCell ref="C32:I32"/>
    <mergeCell ref="A30:B30"/>
  </mergeCells>
  <conditionalFormatting sqref="E11">
    <cfRule type="containsText" dxfId="179" priority="107" operator="containsText" text="არა">
      <formula>NOT(ISERROR(SEARCH("არა",E11)))</formula>
    </cfRule>
    <cfRule type="containsText" dxfId="178" priority="108" operator="containsText" text="კი">
      <formula>NOT(ISERROR(SEARCH("კი",E11)))</formula>
    </cfRule>
  </conditionalFormatting>
  <conditionalFormatting sqref="E9">
    <cfRule type="containsText" dxfId="177" priority="109" operator="containsText" text="კი">
      <formula>NOT(ISERROR(SEARCH("კი",E9)))</formula>
    </cfRule>
  </conditionalFormatting>
  <conditionalFormatting sqref="C16:I16">
    <cfRule type="containsText" dxfId="176" priority="63" operator="containsText" text="უკუჩვენება!">
      <formula>NOT(ISERROR(SEARCH("უკუჩვენება!",C16)))</formula>
    </cfRule>
    <cfRule type="containsText" dxfId="175" priority="65" operator="containsText" text="სიფრთხილე!">
      <formula>NOT(ISERROR(SEARCH("სიფრთხილე!",C16)))</formula>
    </cfRule>
    <cfRule type="containsText" dxfId="174" priority="76" operator="containsText" text="უკუნაჩვენებია">
      <formula>NOT(ISERROR(SEARCH("უკუნაჩვენებია",C16)))</formula>
    </cfRule>
    <cfRule type="containsText" dxfId="173" priority="81" operator="containsText" text="შემცირება">
      <formula>NOT(ISERROR(SEARCH("შემცირება",C16)))</formula>
    </cfRule>
    <cfRule type="containsText" dxfId="172" priority="83" operator="containsText" text="მონაცემები">
      <formula>NOT(ISERROR(SEARCH("მონაცემები",C16)))</formula>
    </cfRule>
    <cfRule type="notContainsBlanks" dxfId="171" priority="104">
      <formula>LEN(TRIM(C16))&gt;0</formula>
    </cfRule>
    <cfRule type="containsText" dxfId="170" priority="106" operator="containsText" text="სიფრთხილით!">
      <formula>NOT(ISERROR(SEARCH("სიფრთხილით!",C16)))</formula>
    </cfRule>
  </conditionalFormatting>
  <conditionalFormatting sqref="A16:B16">
    <cfRule type="notContainsBlanks" dxfId="169" priority="105">
      <formula>LEN(TRIM(A16))&gt;0</formula>
    </cfRule>
  </conditionalFormatting>
  <conditionalFormatting sqref="A17:B17">
    <cfRule type="notContainsBlanks" dxfId="168" priority="103">
      <formula>LEN(TRIM(A17))&gt;0</formula>
    </cfRule>
  </conditionalFormatting>
  <conditionalFormatting sqref="A18:B18">
    <cfRule type="notContainsBlanks" dxfId="167" priority="102">
      <formula>LEN(TRIM(A18))&gt;0</formula>
    </cfRule>
  </conditionalFormatting>
  <conditionalFormatting sqref="A19:B19">
    <cfRule type="notContainsBlanks" dxfId="166" priority="101">
      <formula>LEN(TRIM(A19))&gt;0</formula>
    </cfRule>
  </conditionalFormatting>
  <conditionalFormatting sqref="A20:B20">
    <cfRule type="notContainsBlanks" dxfId="165" priority="62">
      <formula>LEN(TRIM(A20))&gt;0</formula>
    </cfRule>
    <cfRule type="notContainsBlanks" dxfId="164" priority="100">
      <formula>LEN(TRIM(A20))&gt;0</formula>
    </cfRule>
  </conditionalFormatting>
  <conditionalFormatting sqref="A21:B21">
    <cfRule type="notContainsBlanks" dxfId="163" priority="61">
      <formula>LEN(TRIM(A21))&gt;0</formula>
    </cfRule>
    <cfRule type="notContainsBlanks" dxfId="162" priority="99">
      <formula>LEN(TRIM(A21))&gt;0</formula>
    </cfRule>
  </conditionalFormatting>
  <conditionalFormatting sqref="C17:I17">
    <cfRule type="containsText" dxfId="161" priority="64" operator="containsText" text="უკუჩვენება!">
      <formula>NOT(ISERROR(SEARCH("უკუჩვენება!",C17)))</formula>
    </cfRule>
    <cfRule type="containsText" dxfId="160" priority="75" operator="containsText" text="უკუნაჩვენებია!">
      <formula>NOT(ISERROR(SEARCH("უკუნაჩვენებია!",C17)))</formula>
    </cfRule>
    <cfRule type="containsText" dxfId="159" priority="79" operator="containsText" text="მონაცემები">
      <formula>NOT(ISERROR(SEARCH("მონაცემები",C17)))</formula>
    </cfRule>
    <cfRule type="containsText" dxfId="158" priority="80" operator="containsText" text="შემცირება">
      <formula>NOT(ISERROR(SEARCH("შემცირება",C17)))</formula>
    </cfRule>
    <cfRule type="containsText" dxfId="157" priority="82" operator="containsText" text="სიფრთხილით!">
      <formula>NOT(ISERROR(SEARCH("სიფრთხილით!",C17)))</formula>
    </cfRule>
    <cfRule type="notContainsBlanks" dxfId="156" priority="98">
      <formula>LEN(TRIM(C17))&gt;0</formula>
    </cfRule>
  </conditionalFormatting>
  <conditionalFormatting sqref="C18:I18">
    <cfRule type="containsText" dxfId="155" priority="67" operator="containsText" text="სიფრთხილით!">
      <formula>NOT(ISERROR(SEARCH("სიფრთხილით!",C18)))</formula>
    </cfRule>
    <cfRule type="containsText" dxfId="154" priority="73" operator="containsText" text="შემცირება">
      <formula>NOT(ISERROR(SEARCH("შემცირება",C18)))</formula>
    </cfRule>
    <cfRule type="containsText" dxfId="153" priority="74" operator="containsText" text="უკუნაჩვენებია!">
      <formula>NOT(ISERROR(SEARCH("უკუნაჩვენებია!",C18)))</formula>
    </cfRule>
    <cfRule type="containsText" dxfId="152" priority="77" operator="containsText" text="სიფრთხილე!">
      <formula>NOT(ISERROR(SEARCH("სიფრთხილე!",C18)))</formula>
    </cfRule>
    <cfRule type="containsText" dxfId="151" priority="78" operator="containsText" text="უკუჩვენება!">
      <formula>NOT(ISERROR(SEARCH("უკუჩვენება!",C18)))</formula>
    </cfRule>
    <cfRule type="containsText" dxfId="150" priority="93" operator="containsText" text="მონაცემები">
      <formula>NOT(ISERROR(SEARCH("მონაცემები",C18)))</formula>
    </cfRule>
    <cfRule type="notContainsBlanks" dxfId="149" priority="97">
      <formula>LEN(TRIM(C18))&gt;0</formula>
    </cfRule>
  </conditionalFormatting>
  <conditionalFormatting sqref="C19:I19">
    <cfRule type="containsText" dxfId="148" priority="66" operator="containsText" text="სიფრთხილე!">
      <formula>NOT(ISERROR(SEARCH("სიფრთხილე!",C19)))</formula>
    </cfRule>
    <cfRule type="containsText" dxfId="147" priority="72" operator="containsText" text="მონაცემები">
      <formula>NOT(ISERROR(SEARCH("მონაცემები",C19)))</formula>
    </cfRule>
    <cfRule type="containsText" dxfId="146" priority="90" operator="containsText" text="შემცირება">
      <formula>NOT(ISERROR(SEARCH("შემცირება",C19)))</formula>
    </cfRule>
    <cfRule type="containsText" dxfId="145" priority="91" operator="containsText" text="სიფრთხილით!">
      <formula>NOT(ISERROR(SEARCH("სიფრთხილით!",C19)))</formula>
    </cfRule>
    <cfRule type="containsText" dxfId="144" priority="92" operator="containsText" text="უკუნაჩვენებია">
      <formula>NOT(ISERROR(SEARCH("უკუნაჩვენებია",C19)))</formula>
    </cfRule>
    <cfRule type="notContainsBlanks" dxfId="143" priority="96">
      <formula>LEN(TRIM(C19))&gt;0</formula>
    </cfRule>
  </conditionalFormatting>
  <conditionalFormatting sqref="C20:I20">
    <cfRule type="containsText" dxfId="142" priority="16" operator="containsText" text="უკუჩვენება!">
      <formula>NOT(ISERROR(SEARCH("უკუჩვენება!",C20)))</formula>
    </cfRule>
    <cfRule type="containsText" dxfId="141" priority="34" operator="containsText" text="ერიდეთ">
      <formula>NOT(ISERROR(SEARCH("ერიდეთ",C20)))</formula>
    </cfRule>
    <cfRule type="containsText" dxfId="140" priority="44" operator="containsText" text="სიფრთხილე!">
      <formula>NOT(ISERROR(SEARCH("სიფრთხილე!",C20)))</formula>
    </cfRule>
    <cfRule type="containsText" dxfId="139" priority="71" operator="containsText" text="უკუნაჩვენებია!">
      <formula>NOT(ISERROR(SEARCH("უკუნაჩვენებია!",C20)))</formula>
    </cfRule>
    <cfRule type="containsText" dxfId="138" priority="88" operator="containsText" text="მონაცემები">
      <formula>NOT(ISERROR(SEARCH("მონაცემები",C20)))</formula>
    </cfRule>
    <cfRule type="containsText" dxfId="137" priority="89" operator="containsText" text="სიფრთხილით!">
      <formula>NOT(ISERROR(SEARCH("სიფრთხილით!",C20)))</formula>
    </cfRule>
    <cfRule type="notContainsBlanks" dxfId="136" priority="95">
      <formula>LEN(TRIM(C20))&gt;0</formula>
    </cfRule>
  </conditionalFormatting>
  <conditionalFormatting sqref="C21:I21">
    <cfRule type="containsText" dxfId="135" priority="1" operator="containsText" text="უკუნაჩვენებია!">
      <formula>NOT(ISERROR(SEARCH("უკუნაჩვენებია!",C21)))</formula>
    </cfRule>
    <cfRule type="containsText" dxfId="134" priority="4" operator="containsText" text="ერიდეთ">
      <formula>NOT(ISERROR(SEARCH("ერიდეთ",C21)))</formula>
    </cfRule>
    <cfRule type="containsText" dxfId="133" priority="33" operator="containsText" text="სიფრთხილე!">
      <formula>NOT(ISERROR(SEARCH("სიფრთხილე!",C21)))</formula>
    </cfRule>
    <cfRule type="containsText" dxfId="132" priority="84" operator="containsText" text="სიფრთხილით!">
      <formula>NOT(ISERROR(SEARCH("სიფრთხილით!",C21)))</formula>
    </cfRule>
    <cfRule type="containsText" dxfId="131" priority="85" operator="containsText" text="მონაცემები">
      <formula>NOT(ISERROR(SEARCH("მონაცემები",C21)))</formula>
    </cfRule>
    <cfRule type="containsText" dxfId="130" priority="87" operator="containsText" text="შემცირება">
      <formula>NOT(ISERROR(SEARCH("შემცირება",C21)))</formula>
    </cfRule>
    <cfRule type="notContainsBlanks" dxfId="129" priority="94">
      <formula>LEN(TRIM(C21))&gt;0</formula>
    </cfRule>
  </conditionalFormatting>
  <conditionalFormatting sqref="L13">
    <cfRule type="containsText" dxfId="128" priority="86" operator="containsText" text="მონაცემები">
      <formula>NOT(ISERROR(SEARCH("მონაცემები",L13)))</formula>
    </cfRule>
  </conditionalFormatting>
  <conditionalFormatting sqref="A22:B22">
    <cfRule type="notContainsBlanks" dxfId="127" priority="60">
      <formula>LEN(TRIM(A22))&gt;0</formula>
    </cfRule>
    <cfRule type="notContainsBlanks" dxfId="126" priority="70">
      <formula>LEN(TRIM(A22))&gt;0</formula>
    </cfRule>
  </conditionalFormatting>
  <conditionalFormatting sqref="C22:I22">
    <cfRule type="containsText" dxfId="125" priority="35" operator="containsText" text="სიფრთხილით!">
      <formula>NOT(ISERROR(SEARCH("სიფრთხილით!",C22)))</formula>
    </cfRule>
    <cfRule type="containsText" dxfId="124" priority="43" operator="containsText" text="უკუნაჩვენებია!">
      <formula>NOT(ISERROR(SEARCH("უკუნაჩვენებია!",C22)))</formula>
    </cfRule>
    <cfRule type="containsText" dxfId="123" priority="51" operator="containsText" text="მონაცემები">
      <formula>NOT(ISERROR(SEARCH("მონაცემები",C22)))</formula>
    </cfRule>
    <cfRule type="containsText" dxfId="122" priority="68" operator="containsText" text="უკუჩვენება!">
      <formula>NOT(ISERROR(SEARCH("უკუჩვენება!",C22)))</formula>
    </cfRule>
    <cfRule type="notContainsBlanks" dxfId="121" priority="69">
      <formula>LEN(TRIM(C22))&gt;0</formula>
    </cfRule>
  </conditionalFormatting>
  <conditionalFormatting sqref="A23:B23">
    <cfRule type="notContainsBlanks" dxfId="120" priority="59">
      <formula>LEN(TRIM(A23))&gt;0</formula>
    </cfRule>
  </conditionalFormatting>
  <conditionalFormatting sqref="A24:B24">
    <cfRule type="notContainsBlanks" dxfId="119" priority="58">
      <formula>LEN(TRIM(A24))&gt;0</formula>
    </cfRule>
  </conditionalFormatting>
  <conditionalFormatting sqref="A25:B25">
    <cfRule type="notContainsBlanks" dxfId="118" priority="57">
      <formula>LEN(TRIM(A25))&gt;0</formula>
    </cfRule>
  </conditionalFormatting>
  <conditionalFormatting sqref="A26:B26">
    <cfRule type="notContainsBlanks" dxfId="117" priority="56">
      <formula>LEN(TRIM(A26))&gt;0</formula>
    </cfRule>
  </conditionalFormatting>
  <conditionalFormatting sqref="C23:I23">
    <cfRule type="containsText" dxfId="116" priority="32" operator="containsText" text="სიფრთხილით!">
      <formula>NOT(ISERROR(SEARCH("სიფრთხილით!",C23)))</formula>
    </cfRule>
    <cfRule type="containsText" dxfId="115" priority="42" operator="containsText" text="უკუნაჩვენებია!">
      <formula>NOT(ISERROR(SEARCH("უკუნაჩვენებია!",C23)))</formula>
    </cfRule>
    <cfRule type="containsText" dxfId="114" priority="50" operator="containsText" text="მონაცემები">
      <formula>NOT(ISERROR(SEARCH("მონაცემები",C23)))</formula>
    </cfRule>
    <cfRule type="notContainsBlanks" dxfId="113" priority="55">
      <formula>LEN(TRIM(C23))&gt;0</formula>
    </cfRule>
  </conditionalFormatting>
  <conditionalFormatting sqref="C24:I24">
    <cfRule type="containsText" dxfId="112" priority="11" operator="containsText" text="სიფრთხილით!">
      <formula>NOT(ISERROR(SEARCH("სიფრთხილით!",C24)))</formula>
    </cfRule>
    <cfRule type="containsText" dxfId="111" priority="49" operator="containsText" text="მონაცემები">
      <formula>NOT(ISERROR(SEARCH("მონაცემები",C24)))</formula>
    </cfRule>
    <cfRule type="notContainsBlanks" dxfId="110" priority="54">
      <formula>LEN(TRIM(C24))&gt;0</formula>
    </cfRule>
  </conditionalFormatting>
  <conditionalFormatting sqref="C25:I25">
    <cfRule type="containsText" dxfId="109" priority="10" operator="containsText" text="სიფრთხილით!">
      <formula>NOT(ISERROR(SEARCH("სიფრთხილით!",C25)))</formula>
    </cfRule>
    <cfRule type="containsText" dxfId="108" priority="23" operator="containsText" text="სიფრთხილე!">
      <formula>NOT(ISERROR(SEARCH("სიფრთხილე!",C25)))</formula>
    </cfRule>
    <cfRule type="containsText" dxfId="107" priority="47" operator="containsText" text="მონაცემები">
      <formula>NOT(ISERROR(SEARCH("მონაცემები",C25)))</formula>
    </cfRule>
    <cfRule type="notContainsBlanks" dxfId="106" priority="53">
      <formula>LEN(TRIM(C25))&gt;0</formula>
    </cfRule>
  </conditionalFormatting>
  <conditionalFormatting sqref="C26:I26">
    <cfRule type="containsText" dxfId="105" priority="9" operator="containsText" text="სიფრთხილით!">
      <formula>NOT(ISERROR(SEARCH("სიფრთხილით!",C26)))</formula>
    </cfRule>
    <cfRule type="containsText" dxfId="104" priority="14" operator="containsText" text="სიფრთხილე!">
      <formula>NOT(ISERROR(SEARCH("სიფრთხილე!",C26)))</formula>
    </cfRule>
    <cfRule type="containsText" dxfId="103" priority="45" operator="containsText" text="მონაცემები">
      <formula>NOT(ISERROR(SEARCH("მონაცემები",C26)))</formula>
    </cfRule>
    <cfRule type="notContainsBlanks" dxfId="102" priority="52">
      <formula>LEN(TRIM(C26))&gt;0</formula>
    </cfRule>
  </conditionalFormatting>
  <conditionalFormatting sqref="A27:B27">
    <cfRule type="notContainsBlanks" dxfId="101" priority="41">
      <formula>LEN(TRIM(A27))&gt;0</formula>
    </cfRule>
  </conditionalFormatting>
  <conditionalFormatting sqref="A28:B28">
    <cfRule type="notContainsBlanks" dxfId="100" priority="40">
      <formula>LEN(TRIM(A28))&gt;0</formula>
    </cfRule>
  </conditionalFormatting>
  <conditionalFormatting sqref="C27:I27">
    <cfRule type="containsText" dxfId="99" priority="12" operator="containsText" text="უკუჩვენება!">
      <formula>NOT(ISERROR(SEARCH("უკუჩვენება!",C27)))</formula>
    </cfRule>
    <cfRule type="containsText" dxfId="98" priority="22" operator="containsText" text="სიფრთხილე!">
      <formula>NOT(ISERROR(SEARCH("სიფრთხილე!",C27)))</formula>
    </cfRule>
    <cfRule type="containsText" dxfId="97" priority="37" operator="containsText" text="მონაცემები">
      <formula>NOT(ISERROR(SEARCH("მონაცემები",C27)))</formula>
    </cfRule>
    <cfRule type="notContainsBlanks" dxfId="96" priority="39">
      <formula>LEN(TRIM(C27))&gt;0</formula>
    </cfRule>
  </conditionalFormatting>
  <conditionalFormatting sqref="C28:I28">
    <cfRule type="containsText" dxfId="95" priority="8" operator="containsText" text="სიფრთხილით!">
      <formula>NOT(ISERROR(SEARCH("სიფრთხილით!",C28)))</formula>
    </cfRule>
    <cfRule type="containsText" dxfId="94" priority="15" operator="containsText" text="უკუჩვენება!">
      <formula>NOT(ISERROR(SEARCH("უკუჩვენება!",C28)))</formula>
    </cfRule>
    <cfRule type="containsText" dxfId="93" priority="21" operator="containsText" text="სიფრთხილე!">
      <formula>NOT(ISERROR(SEARCH("სიფრთხილე!",C28)))</formula>
    </cfRule>
    <cfRule type="containsText" dxfId="92" priority="36" operator="containsText" text="მონაცემები">
      <formula>NOT(ISERROR(SEARCH("მონაცემები",C28)))</formula>
    </cfRule>
    <cfRule type="notContainsBlanks" dxfId="91" priority="38">
      <formula>LEN(TRIM(C28))&gt;0</formula>
    </cfRule>
  </conditionalFormatting>
  <conditionalFormatting sqref="A29:B29">
    <cfRule type="notContainsBlanks" dxfId="90" priority="31">
      <formula>LEN(TRIM(A29))&gt;0</formula>
    </cfRule>
  </conditionalFormatting>
  <conditionalFormatting sqref="A30:B30">
    <cfRule type="notContainsBlanks" dxfId="89" priority="30">
      <formula>LEN(TRIM(A30))&gt;0</formula>
    </cfRule>
  </conditionalFormatting>
  <conditionalFormatting sqref="A31:B31">
    <cfRule type="notContainsBlanks" dxfId="88" priority="29">
      <formula>LEN(TRIM(A31))&gt;0</formula>
    </cfRule>
  </conditionalFormatting>
  <conditionalFormatting sqref="A32:B32">
    <cfRule type="notContainsBlanks" dxfId="87" priority="28">
      <formula>LEN(TRIM(A32))&gt;0</formula>
    </cfRule>
  </conditionalFormatting>
  <conditionalFormatting sqref="C29:I29">
    <cfRule type="containsText" dxfId="86" priority="20" operator="containsText" text="მონაცემები">
      <formula>NOT(ISERROR(SEARCH("მონაცემები",C29)))</formula>
    </cfRule>
    <cfRule type="notContainsBlanks" dxfId="85" priority="27">
      <formula>LEN(TRIM(C29))&gt;0</formula>
    </cfRule>
  </conditionalFormatting>
  <conditionalFormatting sqref="C30:I30">
    <cfRule type="containsText" dxfId="84" priority="13" operator="containsText" text="სიფრთხილე!">
      <formula>NOT(ISERROR(SEARCH("სიფრთხილე!",C30)))</formula>
    </cfRule>
    <cfRule type="containsText" dxfId="83" priority="19" operator="containsText" text="მონაცემები">
      <formula>NOT(ISERROR(SEARCH("მონაცემები",C30)))</formula>
    </cfRule>
    <cfRule type="notContainsBlanks" dxfId="82" priority="26">
      <formula>LEN(TRIM(C30))&gt;0</formula>
    </cfRule>
  </conditionalFormatting>
  <conditionalFormatting sqref="C31:I31">
    <cfRule type="containsText" dxfId="81" priority="3" operator="containsText" text="მონაცემები">
      <formula>NOT(ISERROR(SEARCH("მონაცემები",C31)))</formula>
    </cfRule>
    <cfRule type="containsText" dxfId="80" priority="5" operator="containsText" text="ერიდეთ">
      <formula>NOT(ISERROR(SEARCH("ერიდეთ",C31)))</formula>
    </cfRule>
    <cfRule type="containsText" dxfId="79" priority="17" operator="containsText" text="უკუჩვენება!">
      <formula>NOT(ISERROR(SEARCH("უკუჩვენება!",C31)))</formula>
    </cfRule>
    <cfRule type="notContainsBlanks" dxfId="78" priority="25">
      <formula>LEN(TRIM(C31))&gt;0</formula>
    </cfRule>
  </conditionalFormatting>
  <conditionalFormatting sqref="C32:I32">
    <cfRule type="containsText" dxfId="77" priority="18" operator="containsText" text="მონაცემები">
      <formula>NOT(ISERROR(SEARCH("მონაცემები",C32)))</formula>
    </cfRule>
    <cfRule type="notContainsBlanks" dxfId="76" priority="24">
      <formula>LEN(TRIM(C32))&gt;0</formula>
    </cfRule>
  </conditionalFormatting>
  <conditionalFormatting sqref="A33:B33">
    <cfRule type="notContainsBlanks" dxfId="75" priority="7">
      <formula>LEN(TRIM(A33))&gt;0</formula>
    </cfRule>
  </conditionalFormatting>
  <conditionalFormatting sqref="C33:I33">
    <cfRule type="containsText" dxfId="74" priority="2" operator="containsText" text="მონაცემები">
      <formula>NOT(ISERROR(SEARCH("მონაცემები",C33)))</formula>
    </cfRule>
    <cfRule type="notContainsBlanks" dxfId="73" priority="6">
      <formula>LEN(TRIM(C33))&gt;0</formula>
    </cfRule>
  </conditionalFormatting>
  <hyperlinks>
    <hyperlink ref="A1:I5" location="Main!A1" display="წამლების და ფიზიკური ფაქტორების ზეგავლენა NOAC-ის კონცენტრაციაზე და ანტიკოაგულაციურ ეფექტზე" xr:uid="{00000000-0004-0000-0700-000000000000}"/>
  </hyperlinks>
  <pageMargins left="0.7" right="0.7" top="0.75" bottom="0.75" header="0.3" footer="0.3"/>
  <pageSetup paperSize="9" orientation="portrait"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0</xdr:col>
                    <xdr:colOff>508000</xdr:colOff>
                    <xdr:row>5</xdr:row>
                    <xdr:rowOff>171450</xdr:rowOff>
                  </from>
                  <to>
                    <xdr:col>3</xdr:col>
                    <xdr:colOff>495300</xdr:colOff>
                    <xdr:row>6</xdr:row>
                    <xdr:rowOff>184150</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1</xdr:col>
                    <xdr:colOff>374650</xdr:colOff>
                    <xdr:row>11</xdr:row>
                    <xdr:rowOff>171450</xdr:rowOff>
                  </from>
                  <to>
                    <xdr:col>9</xdr:col>
                    <xdr:colOff>0</xdr:colOff>
                    <xdr:row>13</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Worksheet____10"/>
  <dimension ref="A1:U33"/>
  <sheetViews>
    <sheetView zoomScaleNormal="100" workbookViewId="0">
      <selection activeCell="K16" sqref="K16"/>
    </sheetView>
  </sheetViews>
  <sheetFormatPr defaultColWidth="8.7265625" defaultRowHeight="14.5" x14ac:dyDescent="0.35"/>
  <cols>
    <col min="1" max="16384" width="8.7265625" style="1"/>
  </cols>
  <sheetData>
    <row r="1" spans="1:21" x14ac:dyDescent="0.35">
      <c r="A1" s="111" t="s">
        <v>297</v>
      </c>
      <c r="B1" s="111"/>
      <c r="C1" s="111"/>
      <c r="D1" s="111"/>
      <c r="E1" s="111"/>
      <c r="F1" s="111"/>
      <c r="G1" s="111"/>
      <c r="H1" s="111"/>
      <c r="I1" s="111"/>
      <c r="J1" s="111"/>
    </row>
    <row r="2" spans="1:21" x14ac:dyDescent="0.35">
      <c r="A2" s="111"/>
      <c r="B2" s="111"/>
      <c r="C2" s="111"/>
      <c r="D2" s="111"/>
      <c r="E2" s="111"/>
      <c r="F2" s="111"/>
      <c r="G2" s="111"/>
      <c r="H2" s="111"/>
      <c r="I2" s="111"/>
      <c r="J2" s="111"/>
    </row>
    <row r="3" spans="1:21" x14ac:dyDescent="0.35">
      <c r="A3" s="111"/>
      <c r="B3" s="111"/>
      <c r="C3" s="111"/>
      <c r="D3" s="111"/>
      <c r="E3" s="111"/>
      <c r="F3" s="111"/>
      <c r="G3" s="111"/>
      <c r="H3" s="111"/>
      <c r="I3" s="111"/>
      <c r="J3" s="111"/>
    </row>
    <row r="4" spans="1:21" x14ac:dyDescent="0.35">
      <c r="H4" s="13"/>
    </row>
    <row r="5" spans="1:21" x14ac:dyDescent="0.35">
      <c r="A5" s="27" t="s">
        <v>281</v>
      </c>
      <c r="B5" s="30"/>
      <c r="D5" s="27" t="s">
        <v>292</v>
      </c>
      <c r="E5" s="30"/>
      <c r="F5" s="1" t="s">
        <v>283</v>
      </c>
      <c r="G5" s="27" t="s">
        <v>282</v>
      </c>
      <c r="H5" s="13">
        <v>1</v>
      </c>
      <c r="J5" s="17" t="str">
        <f>IF(H5=2,1,IF(H5=3,0.85,""))</f>
        <v/>
      </c>
      <c r="U5" s="1" t="s">
        <v>284</v>
      </c>
    </row>
    <row r="6" spans="1:21" x14ac:dyDescent="0.35">
      <c r="U6" s="1" t="s">
        <v>285</v>
      </c>
    </row>
    <row r="7" spans="1:21" x14ac:dyDescent="0.35">
      <c r="A7" s="27" t="s">
        <v>286</v>
      </c>
      <c r="C7" s="30"/>
      <c r="D7" s="1" t="s">
        <v>287</v>
      </c>
    </row>
    <row r="9" spans="1:21" x14ac:dyDescent="0.35">
      <c r="A9" s="28" t="s">
        <v>288</v>
      </c>
      <c r="B9" s="29"/>
      <c r="C9" s="30"/>
      <c r="D9" s="29" t="s">
        <v>289</v>
      </c>
      <c r="E9" s="29"/>
      <c r="F9" s="25">
        <f>C9/88.42</f>
        <v>0</v>
      </c>
      <c r="G9" s="29" t="s">
        <v>287</v>
      </c>
    </row>
    <row r="12" spans="1:21" ht="16.5" x14ac:dyDescent="0.35">
      <c r="A12" s="27" t="s">
        <v>290</v>
      </c>
      <c r="F12" s="25" t="e">
        <f>((140-B5)*E5*J5)/(72*C7)</f>
        <v>#VALUE!</v>
      </c>
      <c r="G12" s="1" t="s">
        <v>291</v>
      </c>
    </row>
    <row r="14" spans="1:21" x14ac:dyDescent="0.35">
      <c r="A14" s="27" t="s">
        <v>293</v>
      </c>
      <c r="C14" s="26" t="e">
        <f>IF(F12&gt;89.9,"G1",IF(AND(F12&gt;59.9,F12&lt;90),"G2",IF(AND(F12&gt;44.9,F12&lt;60),"G3a",IF(AND(F12&gt;29.9,F12&lt;45),"G3b",IF(AND(F12&gt;14.9,F12&lt;30),"G4",IF(F12&lt;15,"G5",""))))))</f>
        <v>#VALUE!</v>
      </c>
      <c r="D14" s="113" t="s">
        <v>294</v>
      </c>
      <c r="E14" s="113"/>
      <c r="F14" s="26" t="e">
        <f>IF(F12&gt;89.9,1,IF(AND(F12&gt;59.9,F12&lt;90),2,IF(AND(F12&gt;44.9,F12&lt;60),3,IF(AND(F12&gt;29.9,F12&lt;45),3,IF(AND(F12&gt;14.9,F12&lt;30),4,IF(F12&lt;15,5,""))))))</f>
        <v>#VALUE!</v>
      </c>
    </row>
    <row r="16" spans="1:21" x14ac:dyDescent="0.35">
      <c r="A16" s="27" t="s">
        <v>295</v>
      </c>
      <c r="C16" s="1" t="e">
        <f>IF(F12&gt;89.9,"ნორმალური ან მაღალი",IF(AND(F12&gt;59.9,F12&lt;90),"გლომერულოფილტრაციის მსუბუქი დაქვეითება",IF(AND(F12&gt;44.9,F12&lt;60),"გლომერულოფილტრაციის მსუბუქი/ზომიერი დაქვეითება",IF(AND(F12&gt;29.9,F12&lt;45),"გლომერულოფილტრაციის ზომიერი/მძიმე დაქვეითება",IF(AND(F12&gt;14.9,F12&lt;30),"გლომერულოფილტრაციის მძიმე დაქვეითება",IF(F12&lt;15,"თირკმლების უკმარისობა, თირკმელჩანაცვლებითი თერაპიის საჭიროებით",""))))))</f>
        <v>#VALUE!</v>
      </c>
    </row>
    <row r="17" spans="1:10" x14ac:dyDescent="0.35">
      <c r="A17" s="27"/>
    </row>
    <row r="19" spans="1:10" x14ac:dyDescent="0.35">
      <c r="A19" s="112" t="s">
        <v>33</v>
      </c>
      <c r="B19" s="112"/>
      <c r="C19" s="107" t="e">
        <f>IF(F12&lt;30,"უკუნაჩვენებია!","150 მგ დღეში ორჯერ. სისხლდენის მაღალი რისკის შემთხვევაში 110 მგ დღეში ორჯერ.")</f>
        <v>#VALUE!</v>
      </c>
      <c r="D19" s="107"/>
      <c r="E19" s="107"/>
      <c r="F19" s="107"/>
      <c r="G19" s="107"/>
      <c r="H19" s="107"/>
      <c r="I19" s="107"/>
      <c r="J19" s="107"/>
    </row>
    <row r="20" spans="1:10" x14ac:dyDescent="0.35">
      <c r="C20" s="107"/>
      <c r="D20" s="107"/>
      <c r="E20" s="107"/>
      <c r="F20" s="107"/>
      <c r="G20" s="107"/>
      <c r="H20" s="107"/>
      <c r="I20" s="107"/>
      <c r="J20" s="107"/>
    </row>
    <row r="21" spans="1:10" x14ac:dyDescent="0.35">
      <c r="C21" s="15"/>
      <c r="D21" s="15"/>
      <c r="E21" s="15"/>
      <c r="F21" s="15"/>
      <c r="G21" s="15"/>
      <c r="H21" s="15"/>
      <c r="I21" s="15"/>
      <c r="J21" s="15"/>
    </row>
    <row r="23" spans="1:10" x14ac:dyDescent="0.35">
      <c r="A23" s="112" t="s">
        <v>35</v>
      </c>
      <c r="B23" s="112"/>
      <c r="C23" s="107" t="e">
        <f>IF(F12&gt;49.9,"20 მგ დღეში ერთჯერ",IF(AND(F12&gt;29.9,F12&lt;50),"15 მგ დღეში ერთჯერ",IF(AND(F12&gt;14.9,F12&lt;30),"15 მგ დღეში ერთჯერ. სიფრთხილით!",IF(F12&lt;15,"უკუნაჩვენებია!",""))))</f>
        <v>#VALUE!</v>
      </c>
      <c r="D23" s="107"/>
      <c r="E23" s="107"/>
      <c r="F23" s="107"/>
      <c r="G23" s="107"/>
      <c r="H23" s="107"/>
      <c r="I23" s="107"/>
      <c r="J23" s="107"/>
    </row>
    <row r="24" spans="1:10" x14ac:dyDescent="0.35">
      <c r="C24" s="107"/>
      <c r="D24" s="107"/>
      <c r="E24" s="107"/>
      <c r="F24" s="107"/>
      <c r="G24" s="107"/>
      <c r="H24" s="107"/>
      <c r="I24" s="107"/>
      <c r="J24" s="107"/>
    </row>
    <row r="25" spans="1:10" x14ac:dyDescent="0.35">
      <c r="C25" s="15"/>
      <c r="D25" s="15"/>
      <c r="E25" s="15"/>
      <c r="F25" s="15"/>
      <c r="G25" s="15"/>
      <c r="H25" s="15"/>
      <c r="I25" s="15"/>
      <c r="J25" s="15"/>
    </row>
    <row r="27" spans="1:10" ht="14.5" customHeight="1" x14ac:dyDescent="0.35">
      <c r="A27" s="112" t="s">
        <v>34</v>
      </c>
      <c r="B27" s="112"/>
      <c r="C27" s="107" t="e">
        <f>IF(F12&gt;49.9,"60 მგ დღეში ერთჯერ.  ≤61 კგ წონის პაციენტებში ან P-Gp ინჰიბიტორით თერაპიის დროს. დანიშვნის წინ უნდა შეფასდეს სისხლდენის და თრომბოემბოლიზმის რისკი",IF(AND(F12&gt;29.9,F12&lt;50),"30 მგ დღეში ერთჯერ",IF(AND(F12&gt;14.9,F12&lt;30),"30 მგ დღეში ერთჯერ. სიფრთხილით!",IF(F12&lt;15,"უკუნაჩვენებია!",""))))</f>
        <v>#VALUE!</v>
      </c>
      <c r="D27" s="107"/>
      <c r="E27" s="107"/>
      <c r="F27" s="107"/>
      <c r="G27" s="107"/>
      <c r="H27" s="107"/>
      <c r="I27" s="107"/>
      <c r="J27" s="107"/>
    </row>
    <row r="28" spans="1:10" x14ac:dyDescent="0.35">
      <c r="C28" s="107"/>
      <c r="D28" s="107"/>
      <c r="E28" s="107"/>
      <c r="F28" s="107"/>
      <c r="G28" s="107"/>
      <c r="H28" s="107"/>
      <c r="I28" s="107"/>
      <c r="J28" s="107"/>
    </row>
    <row r="29" spans="1:10" x14ac:dyDescent="0.35">
      <c r="C29" s="107"/>
      <c r="D29" s="107"/>
      <c r="E29" s="107"/>
      <c r="F29" s="107"/>
      <c r="G29" s="107"/>
      <c r="H29" s="107"/>
      <c r="I29" s="107"/>
      <c r="J29" s="107"/>
    </row>
    <row r="31" spans="1:10" x14ac:dyDescent="0.35">
      <c r="A31" s="112" t="s">
        <v>32</v>
      </c>
      <c r="B31" s="112"/>
      <c r="C31" s="107" t="e">
        <f>IF(F12&gt;29.9,"5 მგ დღეში ორჯერ ან 2.5 მგ დღეში ორჯერ, ქვემოთ ჩამოთვლილი კრიტერიუმებიდან ორის შემთხვევაში მაინც: ≤61 კგ წონა, ≥80 წელი, ≥1.3 მგ/დლ (133 მკმოლ/ლ)",IF(AND(F12&gt;14.9,F12&lt;30),"2.5 მგ დღეში ორჯერ. სიფრთხილით!",IF(F12&lt;15,"უკუნაჩვენებია!","")))</f>
        <v>#VALUE!</v>
      </c>
      <c r="D31" s="107"/>
      <c r="E31" s="107"/>
      <c r="F31" s="107"/>
      <c r="G31" s="107"/>
      <c r="H31" s="107"/>
      <c r="I31" s="107"/>
      <c r="J31" s="107"/>
    </row>
    <row r="32" spans="1:10" x14ac:dyDescent="0.35">
      <c r="C32" s="107"/>
      <c r="D32" s="107"/>
      <c r="E32" s="107"/>
      <c r="F32" s="107"/>
      <c r="G32" s="107"/>
      <c r="H32" s="107"/>
      <c r="I32" s="107"/>
      <c r="J32" s="107"/>
    </row>
    <row r="33" spans="3:10" x14ac:dyDescent="0.35">
      <c r="C33" s="107"/>
      <c r="D33" s="107"/>
      <c r="E33" s="107"/>
      <c r="F33" s="107"/>
      <c r="G33" s="107"/>
      <c r="H33" s="107"/>
      <c r="I33" s="107"/>
      <c r="J33" s="107"/>
    </row>
  </sheetData>
  <sheetProtection algorithmName="SHA-512" hashValue="m65UhZdJjDtF4qrsk099G7a3Ws+S8BVGMAO0L7ermOBv5EpwWf8iafyOqpYfXHtkIKMHAi1FABuxXe6pRk/p3Q==" saltValue="FMif1aVAbhv6DPN1q1hV8w==" spinCount="100000" sheet="1" objects="1" scenarios="1"/>
  <mergeCells count="10">
    <mergeCell ref="A27:B27"/>
    <mergeCell ref="A31:B31"/>
    <mergeCell ref="C27:J29"/>
    <mergeCell ref="C31:J33"/>
    <mergeCell ref="D14:E14"/>
    <mergeCell ref="A1:J3"/>
    <mergeCell ref="C19:J20"/>
    <mergeCell ref="A19:B19"/>
    <mergeCell ref="A23:B23"/>
    <mergeCell ref="C23:J24"/>
  </mergeCells>
  <conditionalFormatting sqref="C14">
    <cfRule type="containsErrors" dxfId="72" priority="10">
      <formula>ISERROR(C14)</formula>
    </cfRule>
    <cfRule type="containsText" dxfId="71" priority="13" operator="containsText" text="G5">
      <formula>NOT(ISERROR(SEARCH("G5",C14)))</formula>
    </cfRule>
    <cfRule type="containsText" dxfId="70" priority="15" operator="containsText" text="G4">
      <formula>NOT(ISERROR(SEARCH("G4",C14)))</formula>
    </cfRule>
    <cfRule type="containsText" dxfId="69" priority="16" operator="containsText" text="G3b">
      <formula>NOT(ISERROR(SEARCH("G3b",C14)))</formula>
    </cfRule>
    <cfRule type="containsText" dxfId="68" priority="18" operator="containsText" text="G3a">
      <formula>NOT(ISERROR(SEARCH("G3a",C14)))</formula>
    </cfRule>
    <cfRule type="containsText" dxfId="67" priority="20" operator="containsText" text="G2">
      <formula>NOT(ISERROR(SEARCH("G2",C14)))</formula>
    </cfRule>
    <cfRule type="containsText" dxfId="66" priority="22" operator="containsText" text="G1">
      <formula>NOT(ISERROR(SEARCH("G1",C14)))</formula>
    </cfRule>
  </conditionalFormatting>
  <conditionalFormatting sqref="F14">
    <cfRule type="containsErrors" dxfId="65" priority="9">
      <formula>ISERROR(F14)</formula>
    </cfRule>
    <cfRule type="cellIs" dxfId="64" priority="12" operator="equal">
      <formula>5</formula>
    </cfRule>
    <cfRule type="cellIs" dxfId="63" priority="14" operator="equal">
      <formula>4</formula>
    </cfRule>
    <cfRule type="cellIs" dxfId="62" priority="17" operator="equal">
      <formula>3</formula>
    </cfRule>
    <cfRule type="cellIs" dxfId="61" priority="19" operator="equal">
      <formula>2</formula>
    </cfRule>
    <cfRule type="cellIs" dxfId="60" priority="21" operator="equal">
      <formula>1</formula>
    </cfRule>
  </conditionalFormatting>
  <conditionalFormatting sqref="F12">
    <cfRule type="containsErrors" dxfId="59" priority="11">
      <formula>ISERROR(F12)</formula>
    </cfRule>
  </conditionalFormatting>
  <conditionalFormatting sqref="C16:C17">
    <cfRule type="containsErrors" dxfId="58" priority="8">
      <formula>ISERROR(C16)</formula>
    </cfRule>
  </conditionalFormatting>
  <conditionalFormatting sqref="C19:J21">
    <cfRule type="containsText" dxfId="57" priority="7" operator="containsText" text="უკუნაჩვენებია!">
      <formula>NOT(ISERROR(SEARCH("უკუნაჩვენებია!",C19)))</formula>
    </cfRule>
  </conditionalFormatting>
  <conditionalFormatting sqref="C23:J25">
    <cfRule type="containsText" dxfId="56" priority="6" operator="containsText" text="უკუნაჩვენებია!">
      <formula>NOT(ISERROR(SEARCH("უკუნაჩვენებია!",C23)))</formula>
    </cfRule>
  </conditionalFormatting>
  <conditionalFormatting sqref="C27">
    <cfRule type="containsText" dxfId="55" priority="5" operator="containsText" text="უკუნაჩვენებია!">
      <formula>NOT(ISERROR(SEARCH("უკუნაჩვენებია!",C27)))</formula>
    </cfRule>
  </conditionalFormatting>
  <conditionalFormatting sqref="C19:J20">
    <cfRule type="containsErrors" dxfId="54" priority="4">
      <formula>ISERROR(C19)</formula>
    </cfRule>
  </conditionalFormatting>
  <conditionalFormatting sqref="C23:J24">
    <cfRule type="containsErrors" dxfId="53" priority="3">
      <formula>ISERROR(C23)</formula>
    </cfRule>
  </conditionalFormatting>
  <conditionalFormatting sqref="C27:J29">
    <cfRule type="containsErrors" dxfId="52" priority="2">
      <formula>ISERROR(C27)</formula>
    </cfRule>
  </conditionalFormatting>
  <conditionalFormatting sqref="C31:J33">
    <cfRule type="containsErrors" dxfId="51" priority="1">
      <formula>ISERROR(C31)</formula>
    </cfRule>
  </conditionalFormatting>
  <hyperlinks>
    <hyperlink ref="A1:J3" location="Main!A1" display="NOAC-ების ჩვენებები GFR-ის მიხედვით" xr:uid="{00000000-0004-0000-0800-000000000000}"/>
  </hyperlinks>
  <pageMargins left="0.7" right="0.7" top="0.75" bottom="0.75" header="0.3" footer="0.3"/>
  <pageSetup paperSize="9" orientation="portrait"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Drop Down 2">
              <controlPr defaultSize="0" autoLine="0" autoPict="0">
                <anchor moveWithCells="1">
                  <from>
                    <xdr:col>6</xdr:col>
                    <xdr:colOff>603250</xdr:colOff>
                    <xdr:row>3</xdr:row>
                    <xdr:rowOff>171450</xdr:rowOff>
                  </from>
                  <to>
                    <xdr:col>8</xdr:col>
                    <xdr:colOff>165100</xdr:colOff>
                    <xdr:row>5</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Main</vt:lpstr>
      <vt:lpstr>Apixaban</vt:lpstr>
      <vt:lpstr>Dabigatran</vt:lpstr>
      <vt:lpstr>Edoxaban</vt:lpstr>
      <vt:lpstr>Rivaroxaban</vt:lpstr>
      <vt:lpstr>Checklist</vt:lpstr>
      <vt:lpstr>Switching</vt:lpstr>
      <vt:lpstr>Interaction</vt:lpstr>
      <vt:lpstr>GFR</vt:lpstr>
      <vt:lpstr>Liver</vt:lpstr>
      <vt:lpstr>Bleeding</vt:lpstr>
      <vt:lpstr>Surgery</vt:lpstr>
      <vt:lpstr>PCI</vt:lpstr>
      <vt:lpstr>Cardioversion</vt:lpstr>
      <vt:lpstr>TIA</vt:lpstr>
      <vt:lpstr>BMI</vt:lpstr>
      <vt:lpstr>Plat</vt:lpstr>
      <vt:lpstr>Warf</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KC</cp:lastModifiedBy>
  <dcterms:created xsi:type="dcterms:W3CDTF">2022-01-20T09:07:02Z</dcterms:created>
  <dcterms:modified xsi:type="dcterms:W3CDTF">2022-03-10T13:45:03Z</dcterms:modified>
</cp:coreProperties>
</file>